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Тариф для ОСС_жилье " sheetId="1" state="visible" r:id="rId1"/>
    <sheet name="Тариф для ОСС_нежилье НП-1" sheetId="2" state="visible" r:id="rId2"/>
    <sheet name="Тариф для ОСС_нежилье НП-2" sheetId="3" state="visible" r:id="rId3"/>
    <sheet name="Достаточность по ОСС" sheetId="4" state="visible" r:id="rId4"/>
    <sheet name="Разъяснения" sheetId="5" state="visible" r:id="rId5"/>
    <sheet name="Лифты_формула" sheetId="6" state="visible" r:id="rId6"/>
    <sheet name="Лифты_расходы" sheetId="7" state="visible" r:id="rId7"/>
    <sheet name="Управление" sheetId="8" state="visible" r:id="rId8"/>
    <sheet name="Слаб., тепл.системы" sheetId="9" state="visible" r:id="rId9"/>
  </sheets>
  <definedNames>
    <definedName name="f" localSheetId="8" hidden="1">#REF!</definedName>
    <definedName name="Z_0885457D_12CF_4923_864D_998BA35CE01D_.wvu.Cols" localSheetId="8" hidden="1">#REF!</definedName>
    <definedName name="Z_0885457D_12CF_4923_864D_998BA35CE01D_.wvu.Rows" localSheetId="8" hidden="1">#REF!</definedName>
    <definedName name="Z_144EA558_4B8B_4239_858D_3D3B320E64FA_.wvu.Cols" localSheetId="8" hidden="1">#REF!</definedName>
    <definedName name="Z_144EA558_4B8B_4239_858D_3D3B320E64FA_.wvu.PrintArea" localSheetId="8" hidden="1">#REF!</definedName>
    <definedName name="Z_2D3F4D39_1D20_491A_8BE9_2F4C8E41EE2A_.wvu.Cols" localSheetId="8" hidden="1">#REF!</definedName>
    <definedName name="Август" localSheetId="8" hidden="1">#REF!</definedName>
    <definedName name="ж58545" localSheetId="8">#REF!</definedName>
    <definedName name="лазурное" localSheetId="8">#REF!</definedName>
    <definedName name="мир" localSheetId="8">#REF!</definedName>
    <definedName name="монблан" localSheetId="8" hidden="1">#REF!</definedName>
    <definedName name="_xlnm.Print_Area" localSheetId="8">#REF!</definedName>
    <definedName name="ппп" localSheetId="8">#REF!</definedName>
    <definedName name="х_265" localSheetId="8" hidden="1">#REF!</definedName>
    <definedName name="юз" localSheetId="8" hidden="1">#REF!</definedName>
    <definedName name="f" hidden="1">#REF!</definedName>
    <definedName name="limcount" hidden="1">1</definedName>
    <definedName name="Z_0885457D_12CF_4923_864D_998BA35CE01D_.wvu.Cols" hidden="1">#REF!</definedName>
    <definedName name="Z_0885457D_12CF_4923_864D_998BA35CE01D_.wvu.Rows" hidden="1">#REF!</definedName>
    <definedName name="Z_144EA558_4B8B_4239_858D_3D3B320E64FA_.wvu.Cols" hidden="1">#REF!</definedName>
    <definedName name="Z_144EA558_4B8B_4239_858D_3D3B320E64FA_.wvu.PrintArea" hidden="1">#REF!</definedName>
    <definedName name="Z_2D3F4D39_1D20_491A_8BE9_2F4C8E41EE2A_.wvu.Cols" hidden="1">#REF!</definedName>
    <definedName name="Август" hidden="1">#REF!</definedName>
    <definedName name="ж58545">#REF!</definedName>
    <definedName name="лазурное">#REF!</definedName>
    <definedName name="мир">#REF!</definedName>
    <definedName name="монблан" hidden="1">#REF!</definedName>
    <definedName name="Print_Area">#REF!</definedName>
    <definedName name="ппп">#REF!</definedName>
    <definedName name="х_265" hidden="1">#REF!</definedName>
    <definedName name="юз" hidden="1">#REF!</definedName>
  </definedNames>
  <calcPr/>
</workbook>
</file>

<file path=xl/sharedStrings.xml><?xml version="1.0" encoding="utf-8"?>
<sst xmlns="http://schemas.openxmlformats.org/spreadsheetml/2006/main" count="154" uniqueCount="154">
  <si>
    <t xml:space="preserve">ПРЕЙСКУРАНТ </t>
  </si>
  <si>
    <t xml:space="preserve">ТАРИФОВ И ЦЕН НА УСЛУГИ И РАБОТЫ</t>
  </si>
  <si>
    <t xml:space="preserve">владельцев квартир дома № 118, по улице Савушкина (Санкт-Петербург).</t>
  </si>
  <si>
    <t>№№</t>
  </si>
  <si>
    <t xml:space="preserve">Вид платежа</t>
  </si>
  <si>
    <t xml:space="preserve">Единица
измерения</t>
  </si>
  <si>
    <t xml:space="preserve">Тариф действующий</t>
  </si>
  <si>
    <t xml:space="preserve">Тариф новый</t>
  </si>
  <si>
    <t xml:space="preserve">Отклонение, руб./кв.м.</t>
  </si>
  <si>
    <t xml:space="preserve">Отклонение, %</t>
  </si>
  <si>
    <t>I</t>
  </si>
  <si>
    <t xml:space="preserve">СОДЕРЖАНИЕ И РЕМОНТ ЖИЛОГО ПОМЕЩЕНИЯ</t>
  </si>
  <si>
    <t xml:space="preserve">Содержание общего имущества в многоквартирном доме </t>
  </si>
  <si>
    <t>р/м2</t>
  </si>
  <si>
    <t xml:space="preserve">Текущий ремонт общего имущества в многоквартирном доме</t>
  </si>
  <si>
    <t xml:space="preserve">Очистка мусоропроводов</t>
  </si>
  <si>
    <t xml:space="preserve">Уборка мест общего пользования</t>
  </si>
  <si>
    <t xml:space="preserve">Санитарное содержание придомовой территории</t>
  </si>
  <si>
    <t xml:space="preserve">Эксплуатация коллективных приборов учета тепловой энергии, холодной воды и эл/энергии</t>
  </si>
  <si>
    <t xml:space="preserve">Обслуживание объединенных диспетчерских систем </t>
  </si>
  <si>
    <t xml:space="preserve">Обслуживание переговорно-замочного устройства </t>
  </si>
  <si>
    <t xml:space="preserve">Обслуживание индивидуального теплового пункта </t>
  </si>
  <si>
    <t xml:space="preserve">Обслуживание, освидетельствование, страхование лифтов</t>
  </si>
  <si>
    <t xml:space="preserve">Обслуживание систем противопожарного водоснабжения</t>
  </si>
  <si>
    <t xml:space="preserve">Управление многоквартирным домом:</t>
  </si>
  <si>
    <t xml:space="preserve">Управление многоквартирным домом</t>
  </si>
  <si>
    <t xml:space="preserve">Ведение бухгалтерии и хозяйственной 
деятельности  ТСЖ</t>
  </si>
  <si>
    <t xml:space="preserve">Банковское обслуживание</t>
  </si>
  <si>
    <t xml:space="preserve">Услуги телефонной связи</t>
  </si>
  <si>
    <t xml:space="preserve">Услуги по охранной сигнализации: тревожная кнопка</t>
  </si>
  <si>
    <t xml:space="preserve">Аварийно-диспетчерская служба</t>
  </si>
  <si>
    <t xml:space="preserve">Техобслуживание систем автоматизированной противопожарной защиты </t>
  </si>
  <si>
    <t xml:space="preserve">Резервный фонд</t>
  </si>
  <si>
    <t>ПРЕЙСКУРАНТ</t>
  </si>
  <si>
    <t xml:space="preserve">владельцев нежилых помещений дома № 118 пом. с 501 по 513, пом. 515 по улице Савушкина (Санкт-Петербург).</t>
  </si>
  <si>
    <t xml:space="preserve">СОДЕРЖАНИЕ И РЕМОНТ НЕЖИЛОГО ПОМЕЩЕНИЯ</t>
  </si>
  <si>
    <t xml:space="preserve">Очистка мусоропровода</t>
  </si>
  <si>
    <t xml:space="preserve">Обслуживание лифтов, освидетельствование, страхование</t>
  </si>
  <si>
    <t xml:space="preserve">владельцев нежилых помещений дома № 118 пом. 514,516 по улице Савушкина (Санкт-Петербург).</t>
  </si>
  <si>
    <t xml:space="preserve">ТСЖ Приморское</t>
  </si>
  <si>
    <t xml:space="preserve">Номенклатурные группы</t>
  </si>
  <si>
    <t>Доходы</t>
  </si>
  <si>
    <t>Расходы</t>
  </si>
  <si>
    <t xml:space="preserve">Отклонения, руб.</t>
  </si>
  <si>
    <t xml:space="preserve">Отклонения, %</t>
  </si>
  <si>
    <t xml:space="preserve">Тариф_доходы, руб./м2</t>
  </si>
  <si>
    <t xml:space="preserve">Тариф_расходы, руб./м2</t>
  </si>
  <si>
    <t xml:space="preserve">Доходы жилья, руб.</t>
  </si>
  <si>
    <t xml:space="preserve">Расходы жилья, руб.</t>
  </si>
  <si>
    <t xml:space="preserve">Рентабельность, %</t>
  </si>
  <si>
    <t xml:space="preserve">Тариф по доходам, руб./м2</t>
  </si>
  <si>
    <t xml:space="preserve">Тариф по расходам, руб./м2</t>
  </si>
  <si>
    <t xml:space="preserve">Отклонение, руб./м2</t>
  </si>
  <si>
    <t xml:space="preserve">Доходы нежилья, руб.</t>
  </si>
  <si>
    <t xml:space="preserve">Расходы нежилья, руб.</t>
  </si>
  <si>
    <t xml:space="preserve">Содержание общего имущества многоквартирного дома</t>
  </si>
  <si>
    <t xml:space="preserve">Текущий ремонт общего имущества многоквартирного дома</t>
  </si>
  <si>
    <t xml:space="preserve">Площадь, руб./м2</t>
  </si>
  <si>
    <t>жилье</t>
  </si>
  <si>
    <t xml:space="preserve">Уборка лестничных клеток</t>
  </si>
  <si>
    <t>нежилье</t>
  </si>
  <si>
    <t>паркинг</t>
  </si>
  <si>
    <t xml:space="preserve">Обслуживание и текущий ремонт тепловых систем</t>
  </si>
  <si>
    <t xml:space="preserve">Обслуживание и текущий ремонт слаботочных систем</t>
  </si>
  <si>
    <t xml:space="preserve">Обслуживание, освидетельствование, страхование  лифтов</t>
  </si>
  <si>
    <t xml:space="preserve">Вывоз твердого бытового мусора и утилизация отходов</t>
  </si>
  <si>
    <t xml:space="preserve">Управление многоквартирным домом </t>
  </si>
  <si>
    <t>Итого</t>
  </si>
  <si>
    <t>Площадь:</t>
  </si>
  <si>
    <t xml:space="preserve">Статья расходов</t>
  </si>
  <si>
    <t xml:space="preserve">Должность  </t>
  </si>
  <si>
    <t>Кол-во</t>
  </si>
  <si>
    <t xml:space="preserve">ФОТ 1 человека, руб.</t>
  </si>
  <si>
    <t xml:space="preserve">ФОТ, руб.</t>
  </si>
  <si>
    <t xml:space="preserve">Резерв отпусков, руб.
</t>
  </si>
  <si>
    <t xml:space="preserve">ФОТ_итого, руб.</t>
  </si>
  <si>
    <t xml:space="preserve">Страховые взносы, руб.</t>
  </si>
  <si>
    <t xml:space="preserve">Канцтовары, материалы, руб.</t>
  </si>
  <si>
    <t xml:space="preserve">Спецодежда, руб.</t>
  </si>
  <si>
    <t xml:space="preserve">Обучение, руб.</t>
  </si>
  <si>
    <t xml:space="preserve">Услуги сторонних орг-ций, руб.</t>
  </si>
  <si>
    <t xml:space="preserve">ИТОГО 
РАСХОДЫ, руб. </t>
  </si>
  <si>
    <t xml:space="preserve">Налог при УСН, руб.</t>
  </si>
  <si>
    <t xml:space="preserve">Рентабельность 10%, руб.</t>
  </si>
  <si>
    <t xml:space="preserve">Тариф_проект, руб./м2</t>
  </si>
  <si>
    <t xml:space="preserve">Тариф действующий, руб./м2</t>
  </si>
  <si>
    <t xml:space="preserve">Содержание общего имущества</t>
  </si>
  <si>
    <t>Управляющий</t>
  </si>
  <si>
    <t xml:space="preserve">Помощник управляющего</t>
  </si>
  <si>
    <t xml:space="preserve">Электромонтер по ремонту и обслуживанию электрооборудования</t>
  </si>
  <si>
    <t>Плотник</t>
  </si>
  <si>
    <t>Диспетчер</t>
  </si>
  <si>
    <t xml:space="preserve">Уборщик МОП</t>
  </si>
  <si>
    <t>Дворник-разнорабочий</t>
  </si>
  <si>
    <t xml:space="preserve">Услуги сторонних организаций</t>
  </si>
  <si>
    <t xml:space="preserve">Сумма, руб.</t>
  </si>
  <si>
    <t xml:space="preserve">Санитарное содержание приломовой территории</t>
  </si>
  <si>
    <t xml:space="preserve">Доходы по старым тарифам, руб.</t>
  </si>
  <si>
    <t xml:space="preserve">Расходы, руб.</t>
  </si>
  <si>
    <t xml:space="preserve">Отклонение, руб.</t>
  </si>
  <si>
    <t xml:space="preserve">жилье </t>
  </si>
  <si>
    <t xml:space="preserve">Услуги по дератизации, дезинфекции объекта</t>
  </si>
  <si>
    <t xml:space="preserve">нежилье НП-1</t>
  </si>
  <si>
    <t xml:space="preserve">Услуги по экстренной ликвидации аварийных ситуаций на объекте</t>
  </si>
  <si>
    <t xml:space="preserve">нежилье НП-2</t>
  </si>
  <si>
    <t xml:space="preserve">Итого расходы</t>
  </si>
  <si>
    <t xml:space="preserve">Распоряжение Комитета по тарифам СПб № 145-р от 29.11.2021 (с 01.01.2022 по 30.06.2022)</t>
  </si>
  <si>
    <t xml:space="preserve">Площадь, м2:</t>
  </si>
  <si>
    <t xml:space="preserve">кол-во лифтов</t>
  </si>
  <si>
    <t>этажность</t>
  </si>
  <si>
    <t>грузоподъемность</t>
  </si>
  <si>
    <t xml:space="preserve">скорость движения</t>
  </si>
  <si>
    <t xml:space="preserve">Лифт грузопассажирский</t>
  </si>
  <si>
    <t>автостоянка</t>
  </si>
  <si>
    <t xml:space="preserve">Лифт пассажирский</t>
  </si>
  <si>
    <t xml:space="preserve">Площадь первых этажей, м2</t>
  </si>
  <si>
    <t xml:space="preserve">Лифты грузопассажирские - грузоподъемность 500 кг, этажность 13</t>
  </si>
  <si>
    <t xml:space="preserve">Базовая ставка, руб./лифт</t>
  </si>
  <si>
    <t>Коф-т</t>
  </si>
  <si>
    <t xml:space="preserve">Кол-во лифтов в доме </t>
  </si>
  <si>
    <t>Этажность</t>
  </si>
  <si>
    <t xml:space="preserve">Тех.обслуживание лифтов, включая ежегодное страхование, диагностику, руб.</t>
  </si>
  <si>
    <t xml:space="preserve">Лифты грузопассажирские - грузоподъемность 500 кг, этажность 15</t>
  </si>
  <si>
    <t xml:space="preserve">Лифты пассажирские - грузоподъемность 400 кг, этажность 10</t>
  </si>
  <si>
    <t xml:space="preserve">Лифты пассажирские - грузоподъемность 400 кг, этажность 13</t>
  </si>
  <si>
    <t xml:space="preserve">Лифты пассажирские - грузоподъемность 400 кг, этажность 15</t>
  </si>
  <si>
    <t xml:space="preserve">Итого стоимость обслуживания лифтов, страхование, диагностика, руб.</t>
  </si>
  <si>
    <t xml:space="preserve">Тариф, руб./м2</t>
  </si>
  <si>
    <t>Объект</t>
  </si>
  <si>
    <t xml:space="preserve">Фирма, обслуживающая лифтовое оборудование</t>
  </si>
  <si>
    <t xml:space="preserve">Количество лифтов</t>
  </si>
  <si>
    <t xml:space="preserve">Доходы по действующим тарифам, руб.</t>
  </si>
  <si>
    <t xml:space="preserve">Расходы действующие, руб., в т.ч.:</t>
  </si>
  <si>
    <t xml:space="preserve">Доходы по новым тарифам, руб.</t>
  </si>
  <si>
    <t xml:space="preserve">Расходы новые, руб.</t>
  </si>
  <si>
    <t>Т/о</t>
  </si>
  <si>
    <t>Диагностика</t>
  </si>
  <si>
    <t>Страхование</t>
  </si>
  <si>
    <t xml:space="preserve">Т/о, с подъемниками</t>
  </si>
  <si>
    <t>Приморское</t>
  </si>
  <si>
    <t>Интеграл</t>
  </si>
  <si>
    <t xml:space="preserve">ООО УК "Космосервис"                                                             </t>
  </si>
  <si>
    <t xml:space="preserve">ООО "Илюзара СПб"</t>
  </si>
  <si>
    <t xml:space="preserve">ИП Ахмедов, ИП Толстобров</t>
  </si>
  <si>
    <t xml:space="preserve">ПАО "Ингосстрах"</t>
  </si>
  <si>
    <t xml:space="preserve">Северо-Западный банк ПАО "Сбербанк"</t>
  </si>
  <si>
    <t xml:space="preserve">ПАО "Ростелеком"</t>
  </si>
  <si>
    <t xml:space="preserve">ООО "Арес",                                                                                                              ООО "ОП "Арес-Охрана"                                  </t>
  </si>
  <si>
    <t xml:space="preserve">Обслуживание тепловых систем:</t>
  </si>
  <si>
    <t xml:space="preserve">ООО УК "Космосервис" </t>
  </si>
  <si>
    <t xml:space="preserve">Обслуживание слаботочных систем:</t>
  </si>
  <si>
    <t xml:space="preserve">Обслуживание объединенных диспетчерских систем</t>
  </si>
  <si>
    <t xml:space="preserve">ООО УК "Космосервис"   </t>
  </si>
  <si>
    <t xml:space="preserve">Обслуживание систем противопожарной защиты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</si>
</sst>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_р_._-;\-* #,##0.00_р_._-;_-* &quot;-&quot;??_р_._-;_-@_-"/>
    <numFmt numFmtId="161" formatCode="_(* #,##0_);_(* \(#,##0\);_(* &quot;-&quot;_);_(@_)"/>
  </numFmts>
  <fonts count="32">
    <font>
      <name val="Arial Cyr"/>
      <color theme="1"/>
      <sz val="10.000000"/>
    </font>
    <font>
      <name val="Arial"/>
      <color indexed="64"/>
      <sz val="10.000000"/>
    </font>
    <font>
      <name val="Calibri"/>
      <color theme="1"/>
      <sz val="11.000000"/>
      <scheme val="minor"/>
    </font>
    <font>
      <name val="Arial Cyr"/>
      <sz val="10.000000"/>
    </font>
    <font>
      <name val="Arial Cyr"/>
      <color indexed="64"/>
      <sz val="10.000000"/>
    </font>
    <font>
      <name val="Arial"/>
      <sz val="10.000000"/>
    </font>
    <font>
      <name val="Calibri"/>
      <color indexed="64"/>
      <sz val="11.000000"/>
    </font>
    <font>
      <name val="Helv"/>
      <sz val="10.000000"/>
    </font>
    <font>
      <name val="Times New Roman"/>
      <sz val="10.000000"/>
    </font>
    <font>
      <name val="Times New Roman"/>
      <sz val="11.000000"/>
    </font>
    <font>
      <name val="Times New Roman"/>
      <b/>
      <sz val="11.000000"/>
    </font>
    <font>
      <name val="Times New Roman"/>
      <sz val="9.000000"/>
    </font>
    <font>
      <name val="Times New Roman"/>
      <i/>
      <sz val="9.000000"/>
    </font>
    <font>
      <name val="Arial Cyr"/>
      <sz val="11.000000"/>
    </font>
    <font>
      <name val="Arial Cyr"/>
      <sz val="9.000000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b/>
      <color theme="1"/>
      <sz val="12.000000"/>
    </font>
    <font>
      <name val="Times New Roman"/>
      <b/>
      <sz val="10.000000"/>
    </font>
    <font>
      <name val="Times New Roman"/>
      <b/>
      <color theme="1"/>
      <sz val="11.000000"/>
    </font>
    <font>
      <name val="Times New Roman"/>
      <b/>
      <color theme="1"/>
      <sz val="9.000000"/>
    </font>
    <font>
      <name val="Times New Roman"/>
      <color theme="1"/>
      <sz val="9.000000"/>
    </font>
    <font>
      <name val="Times New Roman"/>
      <color theme="1"/>
      <sz val="10.000000"/>
    </font>
    <font>
      <name val="Times New Roman"/>
      <b/>
      <color theme="1"/>
      <sz val="10.000000"/>
    </font>
    <font>
      <name val="Calibri"/>
      <sz val="9.000000"/>
      <scheme val="minor"/>
    </font>
    <font>
      <name val="Times New Roman"/>
      <b/>
      <sz val="9.000000"/>
    </font>
    <font>
      <name val="Calibri"/>
      <b/>
      <sz val="9.000000"/>
      <scheme val="minor"/>
    </font>
    <font>
      <name val="Calibri"/>
      <sz val="11.000000"/>
      <scheme val="minor"/>
    </font>
    <font>
      <name val="Calibri"/>
      <color theme="1"/>
      <sz val="9.000000"/>
      <scheme val="minor"/>
    </font>
    <font>
      <name val="Times New Roman"/>
      <color indexed="64"/>
      <sz val="10.000000"/>
    </font>
    <font>
      <name val="Arial Cyr"/>
      <b/>
      <sz val="10.000000"/>
    </font>
    <font>
      <name val="Times New Roman"/>
      <b/>
      <i/>
      <sz val="9.000000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/>
      <top style="medium">
        <color auto="1"/>
      </top>
      <bottom style="hair">
        <color theme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1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0" applyNumberFormat="1" applyFont="1" applyFill="1" applyBorder="1"/>
    <xf fontId="2" fillId="0" borderId="0" numFmtId="0" applyNumberFormat="1" applyFont="1" applyFill="1" applyBorder="1"/>
    <xf fontId="5" fillId="0" borderId="0" numFmtId="0" applyNumberFormat="1" applyFont="1" applyFill="1" applyBorder="1"/>
    <xf fontId="3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3" fillId="0" borderId="0" numFmtId="0" applyNumberFormat="1" applyFont="1" applyFill="1" applyBorder="1"/>
    <xf fontId="3" fillId="0" borderId="0" numFmtId="0" applyNumberFormat="1" applyFont="1" applyFill="1" applyBorder="1"/>
    <xf fontId="3" fillId="0" borderId="0" numFmtId="0" applyNumberFormat="1" applyFont="1" applyFill="1" applyBorder="1"/>
    <xf fontId="6" fillId="0" borderId="0" numFmtId="0" applyNumberFormat="1" applyFont="1" applyFill="1" applyBorder="1"/>
    <xf fontId="7" fillId="0" borderId="0" numFmtId="0" applyNumberFormat="1" applyFont="1" applyFill="1" applyBorder="1"/>
    <xf fontId="3" fillId="0" borderId="0" numFmtId="160" applyNumberFormat="1" applyFont="0" applyFill="0" applyBorder="0" applyProtection="0"/>
    <xf fontId="3" fillId="0" borderId="0" numFmtId="160" applyNumberFormat="1" applyFont="0" applyFill="0" applyBorder="0" applyProtection="0"/>
    <xf fontId="3" fillId="0" borderId="0" numFmtId="160" applyNumberFormat="1" applyFont="0" applyFill="0" applyBorder="0" applyProtection="0"/>
    <xf fontId="6" fillId="0" borderId="0" numFmtId="160" applyNumberFormat="1" applyFont="0" applyFill="0" applyBorder="0" applyProtection="0"/>
    <xf fontId="6" fillId="0" borderId="0" numFmtId="160" applyNumberFormat="1" applyFont="0" applyFill="0" applyBorder="0" applyProtection="0"/>
  </cellStyleXfs>
  <cellXfs count="266">
    <xf fontId="0" fillId="0" borderId="0" numFmtId="0" xfId="0"/>
    <xf fontId="8" fillId="0" borderId="0" numFmtId="0" xfId="0" applyFont="1"/>
    <xf fontId="9" fillId="0" borderId="0" numFmtId="0" xfId="10" applyFont="1"/>
    <xf fontId="9" fillId="0" borderId="0" numFmtId="0" xfId="10" applyFont="1" applyAlignment="1">
      <alignment horizontal="center" wrapText="1"/>
    </xf>
    <xf fontId="9" fillId="0" borderId="0" numFmtId="0" xfId="10" applyFont="1" applyAlignment="1">
      <alignment horizontal="center"/>
    </xf>
    <xf fontId="10" fillId="0" borderId="0" numFmtId="0" xfId="10" applyFont="1" applyAlignment="1">
      <alignment horizontal="center"/>
    </xf>
    <xf fontId="10" fillId="0" borderId="1" numFmtId="0" xfId="10" applyFont="1" applyBorder="1" applyAlignment="1">
      <alignment horizontal="center" vertical="center"/>
    </xf>
    <xf fontId="10" fillId="0" borderId="1" numFmtId="0" xfId="10" applyFont="1" applyBorder="1" applyAlignment="1">
      <alignment horizontal="center" vertical="center" wrapText="1"/>
    </xf>
    <xf fontId="10" fillId="0" borderId="1" numFmtId="0" xfId="14" applyFont="1" applyBorder="1" applyAlignment="1">
      <alignment horizontal="center" vertical="center" wrapText="1"/>
    </xf>
    <xf fontId="9" fillId="0" borderId="0" numFmtId="0" xfId="0" applyFont="1"/>
    <xf fontId="10" fillId="2" borderId="1" numFmtId="0" xfId="10" applyFont="1" applyFill="1" applyBorder="1" applyAlignment="1">
      <alignment horizontal="center" vertical="center"/>
    </xf>
    <xf fontId="10" fillId="2" borderId="1" numFmtId="0" xfId="10" applyFont="1" applyFill="1" applyBorder="1" applyAlignment="1">
      <alignment vertical="center"/>
    </xf>
    <xf fontId="10" fillId="2" borderId="1" numFmtId="2" xfId="10" applyNumberFormat="1" applyFont="1" applyFill="1" applyBorder="1" applyAlignment="1">
      <alignment horizontal="center" vertical="center"/>
    </xf>
    <xf fontId="9" fillId="3" borderId="1" numFmtId="0" xfId="10" applyFont="1" applyFill="1" applyBorder="1" applyAlignment="1">
      <alignment horizontal="center" vertical="center"/>
    </xf>
    <xf fontId="8" fillId="0" borderId="1" numFmtId="0" xfId="10" applyFont="1" applyBorder="1" applyAlignment="1">
      <alignment vertical="center"/>
    </xf>
    <xf fontId="8" fillId="0" borderId="1" numFmtId="0" xfId="10" applyFont="1" applyBorder="1" applyAlignment="1">
      <alignment horizontal="center" vertical="center"/>
    </xf>
    <xf fontId="8" fillId="4" borderId="1" numFmtId="2" xfId="10" applyNumberFormat="1" applyFont="1" applyFill="1" applyBorder="1" applyAlignment="1">
      <alignment horizontal="center" vertical="center"/>
    </xf>
    <xf fontId="8" fillId="0" borderId="1" numFmtId="2" xfId="10" applyNumberFormat="1" applyFont="1" applyBorder="1" applyAlignment="1">
      <alignment horizontal="center" vertical="center"/>
    </xf>
    <xf fontId="8" fillId="0" borderId="1" numFmtId="0" xfId="10" applyFont="1" applyBorder="1" applyAlignment="1">
      <alignment vertical="center" wrapText="1"/>
    </xf>
    <xf fontId="9" fillId="0" borderId="1" numFmtId="0" xfId="10" applyFont="1" applyBorder="1" applyAlignment="1">
      <alignment horizontal="center" vertical="center"/>
    </xf>
    <xf fontId="11" fillId="0" borderId="0" numFmtId="0" xfId="0" applyFont="1"/>
    <xf fontId="11" fillId="0" borderId="1" numFmtId="0" xfId="10" applyFont="1" applyBorder="1" applyAlignment="1">
      <alignment horizontal="center" vertical="center"/>
    </xf>
    <xf fontId="12" fillId="0" borderId="1" numFmtId="0" xfId="10" applyFont="1" applyBorder="1" applyAlignment="1">
      <alignment vertical="center"/>
    </xf>
    <xf fontId="12" fillId="0" borderId="1" numFmtId="0" xfId="10" applyFont="1" applyBorder="1" applyAlignment="1">
      <alignment horizontal="center" vertical="center"/>
    </xf>
    <xf fontId="12" fillId="0" borderId="1" numFmtId="2" xfId="10" applyNumberFormat="1" applyFont="1" applyBorder="1" applyAlignment="1">
      <alignment horizontal="center" vertical="center"/>
    </xf>
    <xf fontId="9" fillId="0" borderId="0" numFmtId="0" xfId="10" applyFont="1" applyAlignment="1">
      <alignment vertical="center"/>
    </xf>
    <xf fontId="13" fillId="0" borderId="0" numFmtId="0" xfId="10" applyFont="1"/>
    <xf fontId="13" fillId="0" borderId="0" numFmtId="0" xfId="0" applyFont="1"/>
    <xf fontId="3" fillId="0" borderId="0" numFmtId="0" xfId="0" applyFont="1"/>
    <xf fontId="8" fillId="3" borderId="1" numFmtId="0" xfId="10" applyFont="1" applyFill="1" applyBorder="1" applyAlignment="1">
      <alignment horizontal="center" vertical="center"/>
    </xf>
    <xf fontId="8" fillId="3" borderId="1" numFmtId="0" xfId="10" applyFont="1" applyFill="1" applyBorder="1" applyAlignment="1">
      <alignment horizontal="left" vertical="center" wrapText="1"/>
    </xf>
    <xf fontId="8" fillId="0" borderId="1" numFmtId="0" xfId="10" applyFont="1" applyBorder="1" applyAlignment="1">
      <alignment horizontal="left" vertical="center" wrapText="1"/>
    </xf>
    <xf fontId="8" fillId="3" borderId="1" numFmtId="0" xfId="10" applyFont="1" applyFill="1" applyBorder="1" applyAlignment="1">
      <alignment horizontal="left" vertical="center"/>
    </xf>
    <xf fontId="8" fillId="0" borderId="1" numFmtId="0" xfId="0" applyFont="1" applyBorder="1" applyAlignment="1">
      <alignment vertical="center" wrapText="1"/>
    </xf>
    <xf fontId="8" fillId="3" borderId="1" numFmtId="0" xfId="10" applyFont="1" applyFill="1" applyBorder="1" applyAlignment="1">
      <alignment vertical="center"/>
    </xf>
    <xf fontId="14" fillId="0" borderId="0" numFmtId="0" xfId="0" applyFont="1"/>
    <xf fontId="12" fillId="3" borderId="1" numFmtId="0" xfId="10" applyFont="1" applyFill="1" applyBorder="1" applyAlignment="1">
      <alignment vertical="center"/>
    </xf>
    <xf fontId="12" fillId="0" borderId="1" numFmtId="0" xfId="10" applyFont="1" applyBorder="1" applyAlignment="1">
      <alignment vertical="center" wrapText="1"/>
    </xf>
    <xf fontId="8" fillId="0" borderId="1" numFmtId="0" xfId="10" applyFont="1" applyBorder="1" applyAlignment="1">
      <alignment horizontal="left" vertical="center"/>
    </xf>
    <xf fontId="3" fillId="0" borderId="0" numFmtId="0" xfId="8" applyFont="1"/>
    <xf fontId="15" fillId="0" borderId="0" numFmtId="0" xfId="8" applyFont="1"/>
    <xf fontId="16" fillId="0" borderId="0" numFmtId="0" xfId="8" applyFont="1"/>
    <xf fontId="17" fillId="0" borderId="0" numFmtId="0" xfId="8" applyFont="1" applyAlignment="1">
      <alignment horizontal="center" vertical="center"/>
    </xf>
    <xf fontId="15" fillId="0" borderId="2" numFmtId="0" xfId="8" applyFont="1" applyBorder="1" applyAlignment="1">
      <alignment horizontal="center" vertical="center"/>
    </xf>
    <xf fontId="15" fillId="0" borderId="3" numFmtId="0" xfId="8" applyFont="1" applyBorder="1" applyAlignment="1">
      <alignment horizontal="center" vertical="center"/>
    </xf>
    <xf fontId="15" fillId="0" borderId="3" numFmtId="0" xfId="8" applyFont="1" applyBorder="1" applyAlignment="1">
      <alignment horizontal="center" vertical="center" wrapText="1"/>
    </xf>
    <xf fontId="15" fillId="0" borderId="4" numFmtId="0" xfId="8" applyFont="1" applyBorder="1" applyAlignment="1">
      <alignment horizontal="center" vertical="center" wrapText="1"/>
    </xf>
    <xf fontId="15" fillId="0" borderId="0" numFmtId="0" xfId="8" applyFont="1" applyAlignment="1">
      <alignment horizontal="center" vertical="center" wrapText="1"/>
    </xf>
    <xf fontId="15" fillId="0" borderId="5" numFmtId="0" xfId="9" applyFont="1" applyBorder="1" applyAlignment="1">
      <alignment horizontal="center" vertical="center" wrapText="1"/>
    </xf>
    <xf fontId="15" fillId="0" borderId="6" numFmtId="0" xfId="9" applyFont="1" applyBorder="1" applyAlignment="1">
      <alignment horizontal="center" vertical="center" wrapText="1"/>
    </xf>
    <xf fontId="15" fillId="0" borderId="7" numFmtId="0" xfId="9" applyFont="1" applyBorder="1" applyAlignment="1">
      <alignment horizontal="center" vertical="center" wrapText="1"/>
    </xf>
    <xf fontId="15" fillId="0" borderId="2" numFmtId="0" xfId="9" applyFont="1" applyBorder="1" applyAlignment="1">
      <alignment horizontal="center" vertical="center" wrapText="1"/>
    </xf>
    <xf fontId="15" fillId="0" borderId="3" numFmtId="0" xfId="9" applyFont="1" applyBorder="1" applyAlignment="1">
      <alignment horizontal="center" vertical="center" wrapText="1"/>
    </xf>
    <xf fontId="15" fillId="0" borderId="4" numFmtId="0" xfId="9" applyFont="1" applyBorder="1" applyAlignment="1">
      <alignment horizontal="center" vertical="center" wrapText="1"/>
    </xf>
    <xf fontId="3" fillId="0" borderId="0" numFmtId="0" xfId="8" applyFont="1" applyAlignment="1">
      <alignment vertical="center"/>
    </xf>
    <xf fontId="8" fillId="0" borderId="8" numFmtId="0" xfId="13" applyFont="1" applyBorder="1" applyAlignment="1">
      <alignment vertical="center"/>
    </xf>
    <xf fontId="15" fillId="0" borderId="9" numFmtId="3" xfId="8" applyNumberFormat="1" applyFont="1" applyBorder="1" applyAlignment="1">
      <alignment horizontal="center" vertical="center"/>
    </xf>
    <xf fontId="15" fillId="0" borderId="9" numFmtId="4" xfId="8" applyNumberFormat="1" applyFont="1" applyBorder="1" applyAlignment="1">
      <alignment horizontal="center" vertical="center"/>
    </xf>
    <xf fontId="15" fillId="0" borderId="10" numFmtId="4" xfId="8" applyNumberFormat="1" applyFont="1" applyBorder="1" applyAlignment="1">
      <alignment horizontal="center" vertical="center"/>
    </xf>
    <xf fontId="15" fillId="0" borderId="0" numFmtId="4" xfId="8" applyNumberFormat="1" applyFont="1" applyAlignment="1">
      <alignment horizontal="center" vertical="center"/>
    </xf>
    <xf fontId="15" fillId="0" borderId="8" numFmtId="3" xfId="8" applyNumberFormat="1" applyFont="1" applyBorder="1" applyAlignment="1">
      <alignment horizontal="center" vertical="center"/>
    </xf>
    <xf fontId="15" fillId="0" borderId="11" numFmtId="4" xfId="8" applyNumberFormat="1" applyFont="1" applyBorder="1" applyAlignment="1">
      <alignment horizontal="center" vertical="center"/>
    </xf>
    <xf fontId="15" fillId="0" borderId="8" numFmtId="4" xfId="8" applyNumberFormat="1" applyFont="1" applyBorder="1" applyAlignment="1">
      <alignment horizontal="center" vertical="center"/>
    </xf>
    <xf fontId="16" fillId="0" borderId="0" numFmtId="0" xfId="8" applyFont="1" applyAlignment="1">
      <alignment vertical="center"/>
    </xf>
    <xf fontId="15" fillId="0" borderId="0" numFmtId="0" xfId="8" applyFont="1" applyAlignment="1">
      <alignment vertical="center"/>
    </xf>
    <xf fontId="9" fillId="0" borderId="9" numFmtId="3" xfId="8" applyNumberFormat="1" applyFont="1" applyBorder="1" applyAlignment="1">
      <alignment horizontal="center" vertical="center"/>
    </xf>
    <xf fontId="18" fillId="0" borderId="12" numFmtId="0" xfId="4" applyFont="1" applyBorder="1" applyAlignment="1">
      <alignment vertical="center" wrapText="1"/>
    </xf>
    <xf fontId="19" fillId="0" borderId="13" numFmtId="3" xfId="8" applyNumberFormat="1" applyFont="1" applyBorder="1" applyAlignment="1">
      <alignment horizontal="center" vertical="center"/>
    </xf>
    <xf fontId="19" fillId="0" borderId="13" numFmtId="4" xfId="8" applyNumberFormat="1" applyFont="1" applyBorder="1" applyAlignment="1">
      <alignment horizontal="center" vertical="center"/>
    </xf>
    <xf fontId="19" fillId="0" borderId="14" numFmtId="4" xfId="8" applyNumberFormat="1" applyFont="1" applyBorder="1" applyAlignment="1">
      <alignment horizontal="center" vertical="center"/>
    </xf>
    <xf fontId="19" fillId="0" borderId="0" numFmtId="4" xfId="8" applyNumberFormat="1" applyFont="1" applyAlignment="1">
      <alignment horizontal="center" vertical="center"/>
    </xf>
    <xf fontId="19" fillId="0" borderId="12" numFmtId="3" xfId="8" applyNumberFormat="1" applyFont="1" applyBorder="1" applyAlignment="1">
      <alignment horizontal="center" vertical="center"/>
    </xf>
    <xf fontId="19" fillId="0" borderId="15" numFmtId="4" xfId="8" applyNumberFormat="1" applyFont="1" applyBorder="1" applyAlignment="1">
      <alignment horizontal="center" vertical="center"/>
    </xf>
    <xf fontId="19" fillId="0" borderId="12" numFmtId="4" xfId="8" applyNumberFormat="1" applyFont="1" applyBorder="1" applyAlignment="1">
      <alignment horizontal="center" vertical="center"/>
    </xf>
    <xf fontId="2" fillId="0" borderId="0" numFmtId="0" xfId="2" applyFont="1"/>
    <xf fontId="15" fillId="0" borderId="0" numFmtId="0" xfId="2" applyFont="1"/>
    <xf fontId="20" fillId="0" borderId="0" numFmtId="0" xfId="2" applyFont="1"/>
    <xf fontId="21" fillId="0" borderId="0" numFmtId="0" xfId="2" applyFont="1" applyAlignment="1">
      <alignment horizontal="center" vertical="center" wrapText="1"/>
    </xf>
    <xf fontId="21" fillId="0" borderId="0" numFmtId="0" xfId="2" applyFont="1"/>
    <xf fontId="21" fillId="0" borderId="0" numFmtId="4" xfId="2" applyNumberFormat="1" applyFont="1" applyAlignment="1">
      <alignment horizontal="left"/>
    </xf>
    <xf fontId="21" fillId="0" borderId="0" numFmtId="4" xfId="2" applyNumberFormat="1" applyFont="1"/>
    <xf fontId="20" fillId="0" borderId="0" numFmtId="4" xfId="2" applyNumberFormat="1" applyFont="1" applyAlignment="1">
      <alignment horizontal="left"/>
    </xf>
    <xf fontId="22" fillId="0" borderId="0" numFmtId="0" xfId="2" applyFont="1"/>
    <xf fontId="23" fillId="0" borderId="0" numFmtId="4" xfId="2" applyNumberFormat="1" applyFont="1"/>
    <xf fontId="22" fillId="0" borderId="0" numFmtId="3" xfId="2" applyNumberFormat="1" applyFont="1"/>
    <xf fontId="19" fillId="0" borderId="0" numFmtId="0" xfId="2" applyFont="1"/>
    <xf fontId="24" fillId="0" borderId="0" numFmtId="0" xfId="12" applyFont="1"/>
    <xf fontId="25" fillId="0" borderId="16" numFmtId="0" xfId="12" applyFont="1" applyBorder="1" applyAlignment="1">
      <alignment horizontal="center" vertical="center" wrapText="1"/>
    </xf>
    <xf fontId="25" fillId="0" borderId="17" numFmtId="0" xfId="12" applyFont="1" applyBorder="1" applyAlignment="1">
      <alignment horizontal="center" vertical="center"/>
    </xf>
    <xf fontId="25" fillId="0" borderId="17" numFmtId="0" xfId="12" applyFont="1" applyBorder="1" applyAlignment="1">
      <alignment horizontal="center" vertical="center" wrapText="1"/>
    </xf>
    <xf fontId="25" fillId="0" borderId="17" numFmtId="3" xfId="12" applyNumberFormat="1" applyFont="1" applyBorder="1" applyAlignment="1">
      <alignment horizontal="center" vertical="center" wrapText="1"/>
    </xf>
    <xf fontId="25" fillId="5" borderId="17" numFmtId="3" xfId="12" applyNumberFormat="1" applyFont="1" applyFill="1" applyBorder="1" applyAlignment="1">
      <alignment horizontal="center" vertical="center" wrapText="1"/>
    </xf>
    <xf fontId="25" fillId="0" borderId="18" numFmtId="3" xfId="12" applyNumberFormat="1" applyFont="1" applyBorder="1" applyAlignment="1">
      <alignment horizontal="center" vertical="center" wrapText="1"/>
    </xf>
    <xf fontId="11" fillId="0" borderId="0" numFmtId="0" xfId="12" applyFont="1"/>
    <xf fontId="11" fillId="0" borderId="19" numFmtId="3" xfId="12" applyNumberFormat="1" applyFont="1" applyBorder="1" applyAlignment="1">
      <alignment horizontal="center"/>
    </xf>
    <xf fontId="11" fillId="0" borderId="20" numFmtId="3" xfId="12" applyNumberFormat="1" applyFont="1" applyBorder="1" applyAlignment="1">
      <alignment horizontal="center"/>
    </xf>
    <xf fontId="11" fillId="5" borderId="20" numFmtId="4" xfId="12" applyNumberFormat="1" applyFont="1" applyFill="1" applyBorder="1" applyAlignment="1">
      <alignment horizontal="center"/>
    </xf>
    <xf fontId="11" fillId="0" borderId="20" numFmtId="4" xfId="12" applyNumberFormat="1" applyFont="1" applyBorder="1" applyAlignment="1">
      <alignment horizontal="center"/>
    </xf>
    <xf fontId="11" fillId="0" borderId="21" numFmtId="4" xfId="12" applyNumberFormat="1" applyFont="1" applyBorder="1" applyAlignment="1">
      <alignment horizontal="center"/>
    </xf>
    <xf fontId="24" fillId="0" borderId="0" numFmtId="0" xfId="12" applyFont="1" applyAlignment="1">
      <alignment vertical="center"/>
    </xf>
    <xf fontId="11" fillId="0" borderId="22" numFmtId="3" xfId="12" applyNumberFormat="1" applyFont="1" applyBorder="1" applyAlignment="1">
      <alignment horizontal="center" vertical="center" wrapText="1"/>
    </xf>
    <xf fontId="11" fillId="0" borderId="23" numFmtId="3" xfId="12" applyNumberFormat="1" applyFont="1" applyBorder="1" applyAlignment="1">
      <alignment horizontal="center" vertical="center"/>
    </xf>
    <xf fontId="11" fillId="0" borderId="24" numFmtId="3" xfId="12" applyNumberFormat="1" applyFont="1" applyBorder="1" applyAlignment="1">
      <alignment horizontal="center" vertical="center"/>
    </xf>
    <xf fontId="11" fillId="5" borderId="23" numFmtId="4" xfId="12" applyNumberFormat="1" applyFont="1" applyFill="1" applyBorder="1" applyAlignment="1">
      <alignment horizontal="center" vertical="center"/>
    </xf>
    <xf fontId="11" fillId="0" borderId="23" numFmtId="4" xfId="12" applyNumberFormat="1" applyFont="1" applyBorder="1" applyAlignment="1">
      <alignment horizontal="center" vertical="center"/>
    </xf>
    <xf fontId="11" fillId="0" borderId="25" numFmtId="4" xfId="12" applyNumberFormat="1" applyFont="1" applyBorder="1" applyAlignment="1">
      <alignment horizontal="center" vertical="center"/>
    </xf>
    <xf fontId="11" fillId="0" borderId="0" numFmtId="0" xfId="12" applyFont="1" applyAlignment="1">
      <alignment vertical="center"/>
    </xf>
    <xf fontId="11" fillId="0" borderId="26" numFmtId="3" xfId="12" applyNumberFormat="1" applyFont="1" applyBorder="1" applyAlignment="1">
      <alignment horizontal="center" vertical="center" wrapText="1"/>
    </xf>
    <xf fontId="11" fillId="0" borderId="9" numFmtId="3" xfId="12" applyNumberFormat="1" applyFont="1" applyBorder="1" applyAlignment="1">
      <alignment horizontal="center" vertical="center"/>
    </xf>
    <xf fontId="11" fillId="0" borderId="20" numFmtId="3" xfId="12" applyNumberFormat="1" applyFont="1" applyBorder="1" applyAlignment="1">
      <alignment horizontal="center" vertical="center"/>
    </xf>
    <xf fontId="11" fillId="5" borderId="9" numFmtId="4" xfId="12" applyNumberFormat="1" applyFont="1" applyFill="1" applyBorder="1" applyAlignment="1">
      <alignment horizontal="center" vertical="center"/>
    </xf>
    <xf fontId="11" fillId="0" borderId="9" numFmtId="4" xfId="12" applyNumberFormat="1" applyFont="1" applyBorder="1" applyAlignment="1">
      <alignment horizontal="center" vertical="center"/>
    </xf>
    <xf fontId="11" fillId="0" borderId="27" numFmtId="4" xfId="12" applyNumberFormat="1" applyFont="1" applyBorder="1" applyAlignment="1">
      <alignment horizontal="center" vertical="center"/>
    </xf>
    <xf fontId="11" fillId="0" borderId="9" numFmtId="3" xfId="12" applyNumberFormat="1" applyFont="1" applyBorder="1" applyAlignment="1">
      <alignment horizontal="center" vertical="center" wrapText="1"/>
    </xf>
    <xf fontId="11" fillId="0" borderId="28" numFmtId="3" xfId="12" applyNumberFormat="1" applyFont="1" applyBorder="1" applyAlignment="1">
      <alignment horizontal="center" vertical="center" wrapText="1"/>
    </xf>
    <xf fontId="11" fillId="0" borderId="29" numFmtId="3" xfId="12" applyNumberFormat="1" applyFont="1" applyBorder="1" applyAlignment="1">
      <alignment horizontal="center" vertical="center"/>
    </xf>
    <xf fontId="11" fillId="0" borderId="30" numFmtId="3" xfId="12" applyNumberFormat="1" applyFont="1" applyBorder="1" applyAlignment="1">
      <alignment horizontal="center" vertical="center"/>
    </xf>
    <xf fontId="11" fillId="5" borderId="29" numFmtId="4" xfId="12" applyNumberFormat="1" applyFont="1" applyFill="1" applyBorder="1" applyAlignment="1">
      <alignment horizontal="center" vertical="center"/>
    </xf>
    <xf fontId="11" fillId="0" borderId="29" numFmtId="4" xfId="12" applyNumberFormat="1" applyFont="1" applyBorder="1" applyAlignment="1">
      <alignment horizontal="center" vertical="center"/>
    </xf>
    <xf fontId="11" fillId="0" borderId="31" numFmtId="4" xfId="12" applyNumberFormat="1" applyFont="1" applyBorder="1" applyAlignment="1">
      <alignment horizontal="center" vertical="center"/>
    </xf>
    <xf fontId="11" fillId="0" borderId="19" numFmtId="3" xfId="12" applyNumberFormat="1" applyFont="1" applyBorder="1" applyAlignment="1">
      <alignment horizontal="center" vertical="center" wrapText="1"/>
    </xf>
    <xf fontId="11" fillId="5" borderId="20" numFmtId="4" xfId="12" applyNumberFormat="1" applyFont="1" applyFill="1" applyBorder="1" applyAlignment="1">
      <alignment horizontal="center" vertical="center"/>
    </xf>
    <xf fontId="11" fillId="0" borderId="20" numFmtId="4" xfId="12" applyNumberFormat="1" applyFont="1" applyBorder="1" applyAlignment="1">
      <alignment horizontal="center" vertical="center"/>
    </xf>
    <xf fontId="11" fillId="0" borderId="21" numFmtId="4" xfId="12" applyNumberFormat="1" applyFont="1" applyBorder="1" applyAlignment="1">
      <alignment horizontal="center" vertical="center"/>
    </xf>
    <xf fontId="11" fillId="0" borderId="32" numFmtId="3" xfId="12" applyNumberFormat="1" applyFont="1" applyBorder="1" applyAlignment="1">
      <alignment horizontal="center" vertical="center" wrapText="1"/>
    </xf>
    <xf fontId="11" fillId="0" borderId="33" numFmtId="3" xfId="12" applyNumberFormat="1" applyFont="1" applyBorder="1" applyAlignment="1">
      <alignment horizontal="center" vertical="center"/>
    </xf>
    <xf fontId="11" fillId="5" borderId="33" numFmtId="4" xfId="12" applyNumberFormat="1" applyFont="1" applyFill="1" applyBorder="1" applyAlignment="1">
      <alignment horizontal="center" vertical="center"/>
    </xf>
    <xf fontId="11" fillId="0" borderId="33" numFmtId="4" xfId="12" applyNumberFormat="1" applyFont="1" applyBorder="1" applyAlignment="1">
      <alignment horizontal="center" vertical="center"/>
    </xf>
    <xf fontId="11" fillId="0" borderId="34" numFmtId="4" xfId="12" applyNumberFormat="1" applyFont="1" applyBorder="1" applyAlignment="1">
      <alignment horizontal="center" vertical="center"/>
    </xf>
    <xf fontId="26" fillId="0" borderId="0" numFmtId="0" xfId="12" applyFont="1"/>
    <xf fontId="25" fillId="0" borderId="28" numFmtId="3" xfId="12" applyNumberFormat="1" applyFont="1" applyBorder="1" applyAlignment="1">
      <alignment horizontal="center"/>
    </xf>
    <xf fontId="25" fillId="0" borderId="29" numFmtId="3" xfId="12" applyNumberFormat="1" applyFont="1" applyBorder="1" applyAlignment="1">
      <alignment horizontal="center"/>
    </xf>
    <xf fontId="25" fillId="5" borderId="29" numFmtId="4" xfId="12" applyNumberFormat="1" applyFont="1" applyFill="1" applyBorder="1" applyAlignment="1">
      <alignment horizontal="center"/>
    </xf>
    <xf fontId="25" fillId="0" borderId="29" numFmtId="4" xfId="12" applyNumberFormat="1" applyFont="1" applyBorder="1" applyAlignment="1">
      <alignment horizontal="center"/>
    </xf>
    <xf fontId="25" fillId="0" borderId="31" numFmtId="4" xfId="12" applyNumberFormat="1" applyFont="1" applyBorder="1" applyAlignment="1">
      <alignment horizontal="center"/>
    </xf>
    <xf fontId="25" fillId="0" borderId="0" numFmtId="0" xfId="12" applyFont="1"/>
    <xf fontId="27" fillId="0" borderId="0" numFmtId="0" xfId="2" applyFont="1"/>
    <xf fontId="9" fillId="0" borderId="0" numFmtId="0" xfId="2" applyFont="1"/>
    <xf fontId="25" fillId="0" borderId="35" numFmtId="0" xfId="2" applyFont="1" applyBorder="1" applyAlignment="1">
      <alignment horizontal="center" vertical="center" wrapText="1"/>
    </xf>
    <xf fontId="25" fillId="0" borderId="36" numFmtId="0" xfId="2" applyFont="1" applyBorder="1" applyAlignment="1">
      <alignment horizontal="center" vertical="center"/>
    </xf>
    <xf fontId="25" fillId="0" borderId="1" numFmtId="0" xfId="2" applyFont="1" applyBorder="1" applyAlignment="1">
      <alignment horizontal="center" vertical="center" wrapText="1"/>
    </xf>
    <xf fontId="25" fillId="0" borderId="0" numFmtId="0" xfId="2" applyFont="1" applyAlignment="1">
      <alignment horizontal="center" vertical="center" wrapText="1"/>
    </xf>
    <xf fontId="25" fillId="5" borderId="17" numFmtId="0" xfId="12" applyFont="1" applyFill="1" applyBorder="1" applyAlignment="1">
      <alignment horizontal="center" vertical="center" wrapText="1"/>
    </xf>
    <xf fontId="25" fillId="0" borderId="18" numFmtId="0" xfId="12" applyFont="1" applyBorder="1" applyAlignment="1">
      <alignment horizontal="center" vertical="center" wrapText="1"/>
    </xf>
    <xf fontId="25" fillId="0" borderId="37" numFmtId="0" xfId="2" applyFont="1" applyBorder="1" applyAlignment="1">
      <alignment horizontal="center" vertical="center" wrapText="1"/>
    </xf>
    <xf fontId="25" fillId="0" borderId="38" numFmtId="0" xfId="2" applyFont="1" applyBorder="1" applyAlignment="1">
      <alignment horizontal="center" vertical="center"/>
    </xf>
    <xf fontId="25" fillId="0" borderId="0" numFmtId="0" xfId="2" applyFont="1" applyAlignment="1">
      <alignment horizontal="center" vertical="center"/>
    </xf>
    <xf fontId="11" fillId="0" borderId="39" numFmtId="0" xfId="12" applyFont="1" applyBorder="1"/>
    <xf fontId="11" fillId="0" borderId="40" numFmtId="3" xfId="12" applyNumberFormat="1" applyFont="1" applyBorder="1" applyAlignment="1">
      <alignment horizontal="center"/>
    </xf>
    <xf fontId="11" fillId="5" borderId="40" numFmtId="2" xfId="12" applyNumberFormat="1" applyFont="1" applyFill="1" applyBorder="1" applyAlignment="1">
      <alignment horizontal="center"/>
    </xf>
    <xf fontId="11" fillId="5" borderId="40" numFmtId="0" xfId="12" applyFont="1" applyFill="1" applyBorder="1" applyAlignment="1">
      <alignment horizontal="center"/>
    </xf>
    <xf fontId="11" fillId="0" borderId="40" numFmtId="2" xfId="12" applyNumberFormat="1" applyFont="1" applyBorder="1" applyAlignment="1">
      <alignment horizontal="center"/>
    </xf>
    <xf fontId="11" fillId="0" borderId="41" numFmtId="2" xfId="12" applyNumberFormat="1" applyFont="1" applyBorder="1" applyAlignment="1">
      <alignment horizontal="center"/>
    </xf>
    <xf fontId="24" fillId="0" borderId="0" numFmtId="0" xfId="2" applyFont="1"/>
    <xf fontId="11" fillId="0" borderId="42" numFmtId="2" xfId="12" applyNumberFormat="1" applyFont="1" applyBorder="1" applyAlignment="1">
      <alignment horizontal="left" vertical="center" wrapText="1"/>
    </xf>
    <xf fontId="11" fillId="0" borderId="43" numFmtId="161" xfId="12" applyNumberFormat="1" applyFont="1" applyBorder="1" applyAlignment="1">
      <alignment horizontal="center" vertical="center" wrapText="1"/>
    </xf>
    <xf fontId="11" fillId="0" borderId="0" numFmtId="161" xfId="12" applyNumberFormat="1" applyFont="1" applyAlignment="1">
      <alignment horizontal="center" vertical="center" wrapText="1"/>
    </xf>
    <xf fontId="11" fillId="0" borderId="0" numFmtId="0" xfId="2" applyFont="1"/>
    <xf fontId="11" fillId="0" borderId="26" numFmtId="0" xfId="12" applyFont="1" applyBorder="1"/>
    <xf fontId="11" fillId="0" borderId="9" numFmtId="3" xfId="12" applyNumberFormat="1" applyFont="1" applyBorder="1" applyAlignment="1">
      <alignment horizontal="center"/>
    </xf>
    <xf fontId="11" fillId="5" borderId="9" numFmtId="2" xfId="12" applyNumberFormat="1" applyFont="1" applyFill="1" applyBorder="1" applyAlignment="1">
      <alignment horizontal="center"/>
    </xf>
    <xf fontId="11" fillId="5" borderId="9" numFmtId="0" xfId="12" applyFont="1" applyFill="1" applyBorder="1" applyAlignment="1">
      <alignment horizontal="center"/>
    </xf>
    <xf fontId="11" fillId="0" borderId="9" numFmtId="2" xfId="12" applyNumberFormat="1" applyFont="1" applyBorder="1" applyAlignment="1">
      <alignment horizontal="center"/>
    </xf>
    <xf fontId="11" fillId="0" borderId="27" numFmtId="2" xfId="12" applyNumberFormat="1" applyFont="1" applyBorder="1" applyAlignment="1">
      <alignment horizontal="center"/>
    </xf>
    <xf fontId="11" fillId="0" borderId="44" numFmtId="2" xfId="12" applyNumberFormat="1" applyFont="1" applyBorder="1" applyAlignment="1">
      <alignment horizontal="left" vertical="center" wrapText="1"/>
    </xf>
    <xf fontId="11" fillId="0" borderId="45" numFmtId="161" xfId="12" applyNumberFormat="1" applyFont="1" applyBorder="1" applyAlignment="1">
      <alignment horizontal="center" vertical="center" wrapText="1"/>
    </xf>
    <xf fontId="25" fillId="0" borderId="46" numFmtId="0" xfId="2" applyFont="1" applyBorder="1" applyAlignment="1">
      <alignment horizontal="center" vertical="center" wrapText="1"/>
    </xf>
    <xf fontId="25" fillId="0" borderId="36" numFmtId="2" xfId="12" applyNumberFormat="1" applyFont="1" applyBorder="1" applyAlignment="1">
      <alignment horizontal="left" vertical="center" wrapText="1"/>
    </xf>
    <xf fontId="25" fillId="0" borderId="1" numFmtId="161" xfId="12" applyNumberFormat="1" applyFont="1" applyBorder="1" applyAlignment="1">
      <alignment horizontal="center" vertical="center" wrapText="1"/>
    </xf>
    <xf fontId="25" fillId="0" borderId="0" numFmtId="161" xfId="12" applyNumberFormat="1" applyFont="1" applyAlignment="1">
      <alignment horizontal="center" vertical="center" wrapText="1"/>
    </xf>
    <xf fontId="11" fillId="0" borderId="28" numFmtId="0" xfId="12" applyFont="1" applyBorder="1"/>
    <xf fontId="11" fillId="0" borderId="29" numFmtId="3" xfId="12" applyNumberFormat="1" applyFont="1" applyBorder="1" applyAlignment="1">
      <alignment horizontal="center"/>
    </xf>
    <xf fontId="11" fillId="5" borderId="29" numFmtId="0" xfId="12" applyFont="1" applyFill="1" applyBorder="1"/>
    <xf fontId="11" fillId="0" borderId="29" numFmtId="0" xfId="12" applyFont="1" applyBorder="1"/>
    <xf fontId="11" fillId="0" borderId="31" numFmtId="0" xfId="12" applyFont="1" applyBorder="1"/>
    <xf fontId="28" fillId="0" borderId="0" numFmtId="0" xfId="2" applyFont="1"/>
    <xf fontId="23" fillId="0" borderId="0" numFmtId="0" xfId="2" applyFont="1"/>
    <xf fontId="22" fillId="0" borderId="0" numFmtId="4" xfId="2" applyNumberFormat="1" applyFont="1"/>
    <xf fontId="22" fillId="0" borderId="0" numFmtId="0" xfId="2" applyFont="1" applyAlignment="1">
      <alignment horizontal="center"/>
    </xf>
    <xf fontId="22" fillId="0" borderId="16" numFmtId="0" xfId="2" applyFont="1" applyBorder="1"/>
    <xf fontId="8" fillId="0" borderId="17" numFmtId="0" xfId="2" applyFont="1" applyBorder="1" applyAlignment="1">
      <alignment horizontal="center" vertical="center"/>
    </xf>
    <xf fontId="22" fillId="0" borderId="17" numFmtId="0" xfId="2" applyFont="1" applyBorder="1" applyAlignment="1">
      <alignment horizontal="center" vertical="center"/>
    </xf>
    <xf fontId="22" fillId="0" borderId="17" numFmtId="0" xfId="2" applyFont="1" applyBorder="1" applyAlignment="1">
      <alignment horizontal="center" vertical="center" wrapText="1"/>
    </xf>
    <xf fontId="22" fillId="0" borderId="18" numFmtId="0" xfId="2" applyFont="1" applyBorder="1" applyAlignment="1">
      <alignment horizontal="center" vertical="center" wrapText="1"/>
    </xf>
    <xf fontId="22" fillId="0" borderId="39" numFmtId="0" xfId="2" applyFont="1" applyBorder="1"/>
    <xf fontId="8" fillId="0" borderId="40" numFmtId="0" xfId="2" applyFont="1" applyBorder="1"/>
    <xf fontId="8" fillId="0" borderId="41" numFmtId="0" xfId="2" applyFont="1" applyBorder="1"/>
    <xf fontId="22" fillId="0" borderId="26" numFmtId="0" xfId="2" applyFont="1" applyBorder="1"/>
    <xf fontId="8" fillId="0" borderId="9" numFmtId="0" xfId="2" applyFont="1" applyBorder="1"/>
    <xf fontId="8" fillId="0" borderId="27" numFmtId="0" xfId="2" applyFont="1" applyBorder="1"/>
    <xf fontId="22" fillId="0" borderId="28" numFmtId="0" xfId="2" applyFont="1" applyBorder="1"/>
    <xf fontId="8" fillId="0" borderId="29" numFmtId="0" xfId="2" applyFont="1" applyBorder="1"/>
    <xf fontId="8" fillId="0" borderId="31" numFmtId="0" xfId="2" applyFont="1" applyBorder="1"/>
    <xf fontId="8" fillId="0" borderId="0" numFmtId="0" xfId="11" applyFont="1"/>
    <xf fontId="18" fillId="0" borderId="0" numFmtId="2" xfId="11" applyNumberFormat="1" applyFont="1"/>
    <xf fontId="8" fillId="0" borderId="0" numFmtId="2" xfId="11" applyNumberFormat="1" applyFont="1"/>
    <xf fontId="8" fillId="0" borderId="22" numFmtId="0" xfId="11" applyFont="1" applyBorder="1" applyAlignment="1">
      <alignment horizontal="left" wrapText="1"/>
    </xf>
    <xf fontId="8" fillId="0" borderId="23" numFmtId="0" xfId="11" applyFont="1" applyBorder="1" applyAlignment="1">
      <alignment horizontal="left" wrapText="1"/>
    </xf>
    <xf fontId="8" fillId="0" borderId="25" numFmtId="0" xfId="11" applyFont="1" applyBorder="1"/>
    <xf fontId="8" fillId="0" borderId="26" numFmtId="0" xfId="11" applyFont="1" applyBorder="1" applyAlignment="1">
      <alignment horizontal="left" wrapText="1"/>
    </xf>
    <xf fontId="8" fillId="0" borderId="9" numFmtId="0" xfId="11" applyFont="1" applyBorder="1" applyAlignment="1">
      <alignment horizontal="left" wrapText="1"/>
    </xf>
    <xf fontId="8" fillId="0" borderId="27" numFmtId="0" xfId="11" applyFont="1" applyBorder="1"/>
    <xf fontId="8" fillId="0" borderId="28" numFmtId="0" xfId="11" applyFont="1" applyBorder="1" applyAlignment="1">
      <alignment horizontal="left" wrapText="1"/>
    </xf>
    <xf fontId="8" fillId="0" borderId="29" numFmtId="0" xfId="11" applyFont="1" applyBorder="1" applyAlignment="1">
      <alignment horizontal="left" wrapText="1"/>
    </xf>
    <xf fontId="8" fillId="0" borderId="31" numFmtId="0" xfId="11" applyFont="1" applyBorder="1"/>
    <xf fontId="8" fillId="0" borderId="0" numFmtId="4" xfId="11" applyNumberFormat="1" applyFont="1"/>
    <xf fontId="8" fillId="0" borderId="0" numFmtId="0" xfId="11" applyFont="1" applyAlignment="1">
      <alignment horizontal="right"/>
    </xf>
    <xf fontId="8" fillId="6" borderId="16" numFmtId="0" xfId="11" applyFont="1" applyFill="1" applyBorder="1"/>
    <xf fontId="8" fillId="6" borderId="17" numFmtId="0" xfId="11" applyFont="1" applyFill="1" applyBorder="1"/>
    <xf fontId="8" fillId="6" borderId="18" numFmtId="4" xfId="11" applyNumberFormat="1" applyFont="1" applyFill="1" applyBorder="1"/>
    <xf fontId="18" fillId="0" borderId="0" numFmtId="9" xfId="11" applyNumberFormat="1" applyFont="1"/>
    <xf fontId="8" fillId="0" borderId="0" numFmtId="0" xfId="7" applyFont="1"/>
    <xf fontId="18" fillId="0" borderId="0" numFmtId="0" xfId="7" applyFont="1"/>
    <xf fontId="8" fillId="0" borderId="0" numFmtId="0" xfId="7" applyFont="1" applyAlignment="1">
      <alignment horizontal="center"/>
    </xf>
    <xf fontId="18" fillId="0" borderId="0" numFmtId="4" xfId="11" applyNumberFormat="1" applyFont="1"/>
    <xf fontId="29" fillId="0" borderId="0" numFmtId="0" xfId="5" applyFont="1"/>
    <xf fontId="18" fillId="0" borderId="0" numFmtId="0" xfId="11" applyFont="1"/>
    <xf fontId="15" fillId="0" borderId="0" numFmtId="0" xfId="3" applyFont="1"/>
    <xf fontId="23" fillId="0" borderId="0" numFmtId="0" xfId="3" applyFont="1" applyAlignment="1">
      <alignment horizontal="center" vertical="center"/>
    </xf>
    <xf fontId="23" fillId="0" borderId="22" numFmtId="0" xfId="3" applyFont="1" applyBorder="1" applyAlignment="1">
      <alignment horizontal="center" vertical="center"/>
    </xf>
    <xf fontId="23" fillId="0" borderId="24" numFmtId="0" xfId="3" applyFont="1" applyBorder="1" applyAlignment="1">
      <alignment horizontal="center" vertical="center" wrapText="1"/>
    </xf>
    <xf fontId="23" fillId="0" borderId="23" numFmtId="0" xfId="3" applyFont="1" applyBorder="1" applyAlignment="1">
      <alignment horizontal="center" vertical="center" wrapText="1"/>
    </xf>
    <xf fontId="23" fillId="0" borderId="25" numFmtId="0" xfId="3" applyFont="1" applyBorder="1" applyAlignment="1">
      <alignment horizontal="center" vertical="center" wrapText="1"/>
    </xf>
    <xf fontId="23" fillId="0" borderId="22" numFmtId="0" xfId="3" applyFont="1" applyBorder="1" applyAlignment="1">
      <alignment horizontal="center" vertical="center" wrapText="1"/>
    </xf>
    <xf fontId="23" fillId="0" borderId="28" numFmtId="0" xfId="3" applyFont="1" applyBorder="1" applyAlignment="1">
      <alignment horizontal="center" vertical="center"/>
    </xf>
    <xf fontId="23" fillId="0" borderId="30" numFmtId="0" xfId="3" applyFont="1" applyBorder="1" applyAlignment="1">
      <alignment horizontal="center" vertical="center" wrapText="1"/>
    </xf>
    <xf fontId="23" fillId="0" borderId="29" numFmtId="0" xfId="3" applyFont="1" applyBorder="1" applyAlignment="1">
      <alignment horizontal="center" vertical="center" wrapText="1"/>
    </xf>
    <xf fontId="23" fillId="0" borderId="29" numFmtId="0" xfId="3" applyFont="1" applyBorder="1" applyAlignment="1">
      <alignment horizontal="center" vertical="center"/>
    </xf>
    <xf fontId="23" fillId="0" borderId="31" numFmtId="0" xfId="3" applyFont="1" applyBorder="1" applyAlignment="1">
      <alignment horizontal="center" vertical="center" wrapText="1"/>
    </xf>
    <xf fontId="23" fillId="0" borderId="28" numFmtId="0" xfId="3" applyFont="1" applyBorder="1" applyAlignment="1">
      <alignment horizontal="center" vertical="center" wrapText="1"/>
    </xf>
    <xf fontId="22" fillId="0" borderId="0" numFmtId="0" xfId="3" applyFont="1"/>
    <xf fontId="22" fillId="0" borderId="39" numFmtId="0" xfId="3" applyFont="1" applyBorder="1"/>
    <xf fontId="22" fillId="0" borderId="47" numFmtId="0" xfId="3" applyFont="1" applyBorder="1"/>
    <xf fontId="22" fillId="0" borderId="40" numFmtId="0" xfId="3" applyFont="1" applyBorder="1"/>
    <xf fontId="22" fillId="0" borderId="41" numFmtId="0" xfId="3" applyFont="1" applyBorder="1"/>
    <xf fontId="22" fillId="5" borderId="40" numFmtId="0" xfId="3" applyFont="1" applyFill="1" applyBorder="1"/>
    <xf fontId="22" fillId="0" borderId="26" numFmtId="0" xfId="3" applyFont="1" applyBorder="1"/>
    <xf fontId="22" fillId="0" borderId="48" numFmtId="0" xfId="3" applyFont="1" applyBorder="1"/>
    <xf fontId="22" fillId="0" borderId="9" numFmtId="3" xfId="3" applyNumberFormat="1" applyFont="1" applyBorder="1"/>
    <xf fontId="22" fillId="0" borderId="27" numFmtId="4" xfId="3" applyNumberFormat="1" applyFont="1" applyBorder="1"/>
    <xf fontId="22" fillId="0" borderId="26" numFmtId="3" xfId="3" applyNumberFormat="1" applyFont="1" applyBorder="1"/>
    <xf fontId="22" fillId="5" borderId="9" numFmtId="3" xfId="3" applyNumberFormat="1" applyFont="1" applyFill="1" applyBorder="1"/>
    <xf fontId="22" fillId="0" borderId="0" numFmtId="4" xfId="3" applyNumberFormat="1" applyFont="1"/>
    <xf fontId="22" fillId="0" borderId="28" numFmtId="0" xfId="3" applyFont="1" applyBorder="1"/>
    <xf fontId="22" fillId="0" borderId="49" numFmtId="0" xfId="3" applyFont="1" applyBorder="1"/>
    <xf fontId="22" fillId="0" borderId="29" numFmtId="3" xfId="3" applyNumberFormat="1" applyFont="1" applyBorder="1"/>
    <xf fontId="22" fillId="0" borderId="31" numFmtId="4" xfId="3" applyNumberFormat="1" applyFont="1" applyBorder="1"/>
    <xf fontId="22" fillId="0" borderId="28" numFmtId="3" xfId="3" applyNumberFormat="1" applyFont="1" applyBorder="1"/>
    <xf fontId="22" fillId="5" borderId="29" numFmtId="3" xfId="3" applyNumberFormat="1" applyFont="1" applyFill="1" applyBorder="1"/>
    <xf fontId="8" fillId="0" borderId="1" numFmtId="0" xfId="10" applyFont="1" applyBorder="1" applyAlignment="1">
      <alignment horizontal="center" vertical="center" wrapText="1"/>
    </xf>
    <xf fontId="12" fillId="0" borderId="1" numFmtId="3" xfId="10" applyNumberFormat="1" applyFont="1" applyBorder="1" applyAlignment="1">
      <alignment horizontal="center" vertical="center"/>
    </xf>
    <xf fontId="12" fillId="0" borderId="35" numFmtId="3" xfId="10" applyNumberFormat="1" applyFont="1" applyBorder="1" applyAlignment="1">
      <alignment horizontal="center" vertical="center"/>
    </xf>
    <xf fontId="12" fillId="0" borderId="35" numFmtId="0" xfId="10" applyFont="1" applyBorder="1" applyAlignment="1">
      <alignment horizontal="left" vertical="center"/>
    </xf>
    <xf fontId="12" fillId="0" borderId="46" numFmtId="3" xfId="10" applyNumberFormat="1" applyFont="1" applyBorder="1" applyAlignment="1">
      <alignment horizontal="center" vertical="center"/>
    </xf>
    <xf fontId="12" fillId="0" borderId="37" numFmtId="0" xfId="10" applyFont="1" applyBorder="1" applyAlignment="1">
      <alignment horizontal="left" vertical="center"/>
    </xf>
    <xf fontId="12" fillId="0" borderId="37" numFmtId="3" xfId="10" applyNumberFormat="1" applyFont="1" applyBorder="1" applyAlignment="1">
      <alignment horizontal="center" vertical="center"/>
    </xf>
    <xf fontId="12" fillId="0" borderId="46" numFmtId="0" xfId="10" applyFont="1" applyBorder="1" applyAlignment="1">
      <alignment horizontal="left" vertical="center"/>
    </xf>
    <xf fontId="30" fillId="0" borderId="0" numFmtId="0" xfId="0" applyFont="1"/>
    <xf fontId="31" fillId="0" borderId="1" numFmtId="0" xfId="10" applyFont="1" applyBorder="1" applyAlignment="1">
      <alignment vertical="center"/>
    </xf>
    <xf fontId="31" fillId="0" borderId="1" numFmtId="3" xfId="10" applyNumberFormat="1" applyFont="1" applyBorder="1" applyAlignment="1">
      <alignment horizontal="center" vertical="center"/>
    </xf>
    <xf fontId="31" fillId="0" borderId="1" numFmtId="0" xfId="10" applyFont="1" applyBorder="1" applyAlignment="1">
      <alignment vertical="center" wrapText="1"/>
    </xf>
    <xf fontId="3" fillId="0" borderId="0" numFmtId="0" xfId="4" applyFont="1"/>
    <xf fontId="3" fillId="0" borderId="1" numFmtId="0" xfId="4" applyFont="1" applyBorder="1"/>
    <xf fontId="8" fillId="0" borderId="35" numFmtId="0" xfId="10" applyFont="1" applyBorder="1" applyAlignment="1">
      <alignment horizontal="center" vertical="center"/>
    </xf>
    <xf fontId="30" fillId="0" borderId="0" numFmtId="0" xfId="4" applyFont="1"/>
    <xf fontId="30" fillId="0" borderId="1" numFmtId="0" xfId="4" applyFont="1" applyBorder="1"/>
  </cellXfs>
  <cellStyles count="21">
    <cellStyle name="Normal_Sheet1" xfId="1"/>
    <cellStyle name="Обычный" xfId="0" builtinId="0"/>
    <cellStyle name="Обычный 11 2" xfId="2"/>
    <cellStyle name="Обычный 2" xfId="3"/>
    <cellStyle name="Обычный 2 2" xfId="4"/>
    <cellStyle name="Обычный 2 2 3 2" xfId="5"/>
    <cellStyle name="Обычный 3" xfId="6"/>
    <cellStyle name="Обычный 3 3" xfId="7"/>
    <cellStyle name="Обычный 4" xfId="8"/>
    <cellStyle name="Обычный 83" xfId="9"/>
    <cellStyle name="Обычный_2005год" xfId="10"/>
    <cellStyle name="Обычный_5_А_2007_ЮЖНОЕ_N_ДР_АКТЫ" xfId="11"/>
    <cellStyle name="Обычный_бюджет 2008 (11.02.08) на утверждение 2" xfId="12"/>
    <cellStyle name="Обычный_бюджет 2008 (11.02.08) на утверждение 2 2" xfId="13"/>
    <cellStyle name="Обычный_тарифы город=факт" xfId="14"/>
    <cellStyle name="Стиль 1" xfId="15"/>
    <cellStyle name="Финансовый 2" xfId="16"/>
    <cellStyle name="Финансовый 3" xfId="17"/>
    <cellStyle name="Финансовый 4" xfId="18"/>
    <cellStyle name="Финансовый 4 2" xfId="19"/>
    <cellStyle name="Финансовый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tyles" Target="style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B6" activeCellId="0" sqref="B6"/>
    </sheetView>
  </sheetViews>
  <sheetFormatPr defaultColWidth="8.85546875" defaultRowHeight="15"/>
  <cols>
    <col customWidth="1" min="1" max="1" style="2" width="6.5703125"/>
    <col customWidth="1" min="2" max="2" style="2" width="58.42578125"/>
    <col customWidth="1" min="3" max="3" style="2" width="15.28515625"/>
    <col customWidth="1" min="4" max="5" style="2" width="16.28515625"/>
    <col customWidth="1" min="6" max="7" style="1" width="16.28515625"/>
    <col min="8" max="16384" style="1" width="8.85546875"/>
  </cols>
  <sheetData>
    <row r="1" ht="15" customHeight="1">
      <c r="A1" s="3"/>
      <c r="B1" s="3"/>
      <c r="E1" s="4"/>
    </row>
    <row r="2" ht="14.25">
      <c r="A2" s="5" t="s">
        <v>0</v>
      </c>
      <c r="B2" s="5"/>
      <c r="C2" s="5"/>
      <c r="D2" s="5"/>
      <c r="E2" s="5"/>
    </row>
    <row r="3" ht="14.25">
      <c r="A3" s="5" t="s">
        <v>1</v>
      </c>
      <c r="B3" s="5"/>
      <c r="C3" s="5"/>
      <c r="D3" s="5"/>
      <c r="E3" s="5"/>
    </row>
    <row r="4" ht="14.25">
      <c r="A4" s="5" t="s">
        <v>2</v>
      </c>
      <c r="B4" s="5"/>
      <c r="C4" s="5"/>
      <c r="D4" s="5"/>
      <c r="E4" s="5"/>
    </row>
    <row r="5">
      <c r="A5" s="3"/>
      <c r="B5" s="3"/>
      <c r="C5" s="3"/>
      <c r="D5" s="3"/>
      <c r="E5" s="3"/>
    </row>
    <row r="6" ht="38.450000000000003" customHeight="1">
      <c r="A6" s="6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="9" customFormat="1" ht="25.149999999999999" customHeight="1">
      <c r="A7" s="10" t="s">
        <v>10</v>
      </c>
      <c r="B7" s="11" t="s">
        <v>11</v>
      </c>
      <c r="C7" s="10"/>
      <c r="D7" s="12">
        <f>SUM(D8:D19)+D25+D26+D27</f>
        <v>36.130000000000003</v>
      </c>
      <c r="E7" s="12">
        <f>SUM(E8:E19)+E25+E26+E27-0.01</f>
        <v>45.288009941460643</v>
      </c>
      <c r="F7" s="12">
        <f t="shared" ref="F7:F27" si="0">E7-D7</f>
        <v>9.1580099414606408</v>
      </c>
      <c r="G7" s="12">
        <f t="shared" ref="G7:G27" si="1">E7/D7*100-100</f>
        <v>25.347384283035268</v>
      </c>
    </row>
    <row r="8" ht="33.600000000000001" customHeight="1">
      <c r="A8" s="13">
        <v>1</v>
      </c>
      <c r="B8" s="14" t="s">
        <v>12</v>
      </c>
      <c r="C8" s="15" t="s">
        <v>13</v>
      </c>
      <c r="D8" s="16">
        <v>5.7199999999999998</v>
      </c>
      <c r="E8" s="16">
        <f>Разъяснения!P11</f>
        <v>7.8777971943266287</v>
      </c>
      <c r="F8" s="16">
        <f t="shared" si="0"/>
        <v>2.157797194326629</v>
      </c>
      <c r="G8" s="16">
        <f t="shared" si="1"/>
        <v>37.723727173542471</v>
      </c>
    </row>
    <row r="9" ht="33.600000000000001" customHeight="1">
      <c r="A9" s="13">
        <v>2</v>
      </c>
      <c r="B9" s="14" t="s">
        <v>14</v>
      </c>
      <c r="C9" s="15" t="s">
        <v>13</v>
      </c>
      <c r="D9" s="17">
        <v>6.3300000000000001</v>
      </c>
      <c r="E9" s="17">
        <v>6.3300000000000001</v>
      </c>
      <c r="F9" s="17">
        <f t="shared" si="0"/>
        <v>0</v>
      </c>
      <c r="G9" s="17">
        <f t="shared" si="1"/>
        <v>0</v>
      </c>
    </row>
    <row r="10" ht="33.600000000000001" customHeight="1">
      <c r="A10" s="13">
        <v>3</v>
      </c>
      <c r="B10" s="14" t="s">
        <v>15</v>
      </c>
      <c r="C10" s="15" t="s">
        <v>13</v>
      </c>
      <c r="D10" s="16">
        <v>1.6699999999999999</v>
      </c>
      <c r="E10" s="16">
        <v>1.74</v>
      </c>
      <c r="F10" s="16">
        <f t="shared" si="0"/>
        <v>0.070000000000000062</v>
      </c>
      <c r="G10" s="16">
        <f t="shared" si="1"/>
        <v>4.1916167664670638</v>
      </c>
    </row>
    <row r="11" ht="33.600000000000001" customHeight="1">
      <c r="A11" s="13">
        <v>4</v>
      </c>
      <c r="B11" s="14" t="s">
        <v>16</v>
      </c>
      <c r="C11" s="15" t="s">
        <v>13</v>
      </c>
      <c r="D11" s="16">
        <v>2.1699999999999999</v>
      </c>
      <c r="E11" s="16">
        <f>Разъяснения!P18</f>
        <v>3.4933943651437445</v>
      </c>
      <c r="F11" s="16">
        <f t="shared" si="0"/>
        <v>1.3233943651437445</v>
      </c>
      <c r="G11" s="16">
        <f t="shared" si="1"/>
        <v>60.9859154444122</v>
      </c>
    </row>
    <row r="12" ht="33.600000000000001" customHeight="1">
      <c r="A12" s="13">
        <v>5</v>
      </c>
      <c r="B12" s="14" t="s">
        <v>17</v>
      </c>
      <c r="C12" s="15" t="s">
        <v>13</v>
      </c>
      <c r="D12" s="16">
        <v>2.02</v>
      </c>
      <c r="E12" s="16">
        <f>Разъяснения!P25</f>
        <v>3.2915417916418215</v>
      </c>
      <c r="F12" s="16">
        <f t="shared" si="0"/>
        <v>1.2715417916418215</v>
      </c>
      <c r="G12" s="16">
        <f t="shared" si="1"/>
        <v>62.947613447614913</v>
      </c>
    </row>
    <row r="13" ht="33.600000000000001" customHeight="1">
      <c r="A13" s="13">
        <v>6</v>
      </c>
      <c r="B13" s="18" t="s">
        <v>18</v>
      </c>
      <c r="C13" s="15" t="s">
        <v>13</v>
      </c>
      <c r="D13" s="17">
        <v>0.67000000000000004</v>
      </c>
      <c r="E13" s="17">
        <v>0.67000000000000004</v>
      </c>
      <c r="F13" s="17">
        <f t="shared" si="0"/>
        <v>0</v>
      </c>
      <c r="G13" s="17">
        <f t="shared" si="1"/>
        <v>0</v>
      </c>
    </row>
    <row r="14" ht="33.600000000000001" customHeight="1">
      <c r="A14" s="13">
        <v>7</v>
      </c>
      <c r="B14" s="14" t="s">
        <v>19</v>
      </c>
      <c r="C14" s="15" t="s">
        <v>13</v>
      </c>
      <c r="D14" s="17">
        <v>0.29999999999999999</v>
      </c>
      <c r="E14" s="17">
        <v>0.29999999999999999</v>
      </c>
      <c r="F14" s="17">
        <f t="shared" si="0"/>
        <v>0</v>
      </c>
      <c r="G14" s="17">
        <f t="shared" si="1"/>
        <v>0</v>
      </c>
    </row>
    <row r="15" ht="33.600000000000001" customHeight="1">
      <c r="A15" s="13">
        <v>8</v>
      </c>
      <c r="B15" s="14" t="s">
        <v>20</v>
      </c>
      <c r="C15" s="15" t="s">
        <v>13</v>
      </c>
      <c r="D15" s="17">
        <v>0.34000000000000002</v>
      </c>
      <c r="E15" s="17">
        <v>0.34000000000000002</v>
      </c>
      <c r="F15" s="17">
        <f t="shared" si="0"/>
        <v>0</v>
      </c>
      <c r="G15" s="17">
        <f t="shared" si="1"/>
        <v>0</v>
      </c>
    </row>
    <row r="16" ht="33.600000000000001" customHeight="1">
      <c r="A16" s="13">
        <v>9</v>
      </c>
      <c r="B16" s="14" t="s">
        <v>21</v>
      </c>
      <c r="C16" s="15" t="s">
        <v>13</v>
      </c>
      <c r="D16" s="17">
        <v>0.54000000000000004</v>
      </c>
      <c r="E16" s="17">
        <v>0.54000000000000004</v>
      </c>
      <c r="F16" s="17">
        <f t="shared" si="0"/>
        <v>0</v>
      </c>
      <c r="G16" s="17">
        <f t="shared" si="1"/>
        <v>0</v>
      </c>
    </row>
    <row r="17" ht="33.600000000000001" customHeight="1">
      <c r="A17" s="19">
        <v>10</v>
      </c>
      <c r="B17" s="14" t="s">
        <v>22</v>
      </c>
      <c r="C17" s="15" t="s">
        <v>13</v>
      </c>
      <c r="D17" s="16">
        <v>2.52</v>
      </c>
      <c r="E17" s="16">
        <f>Лифты_формула!E55</f>
        <v>4.4139487532185653</v>
      </c>
      <c r="F17" s="16">
        <f t="shared" si="0"/>
        <v>1.8939487532185653</v>
      </c>
      <c r="G17" s="16">
        <f t="shared" si="1"/>
        <v>75.156696556292275</v>
      </c>
    </row>
    <row r="18" ht="33.600000000000001" customHeight="1">
      <c r="A18" s="19">
        <v>11</v>
      </c>
      <c r="B18" s="14" t="s">
        <v>23</v>
      </c>
      <c r="C18" s="15" t="s">
        <v>13</v>
      </c>
      <c r="D18" s="17">
        <v>0.25</v>
      </c>
      <c r="E18" s="17">
        <v>0.25</v>
      </c>
      <c r="F18" s="17">
        <f t="shared" si="0"/>
        <v>0</v>
      </c>
      <c r="G18" s="17">
        <f t="shared" si="1"/>
        <v>0</v>
      </c>
    </row>
    <row r="19" ht="33.600000000000001" customHeight="1">
      <c r="A19" s="13">
        <v>12</v>
      </c>
      <c r="B19" s="14" t="s">
        <v>24</v>
      </c>
      <c r="C19" s="15" t="s">
        <v>13</v>
      </c>
      <c r="D19" s="17">
        <f>SUM(D20:D24)</f>
        <v>9.0499999999999989</v>
      </c>
      <c r="E19" s="17">
        <f>SUM(E20:E24)</f>
        <v>9.0499999999999989</v>
      </c>
      <c r="F19" s="17">
        <f t="shared" si="0"/>
        <v>0</v>
      </c>
      <c r="G19" s="17">
        <f t="shared" si="1"/>
        <v>0</v>
      </c>
    </row>
    <row r="20" s="20" customFormat="1" ht="33.600000000000001" customHeight="1">
      <c r="A20" s="21"/>
      <c r="B20" s="22" t="s">
        <v>25</v>
      </c>
      <c r="C20" s="23" t="s">
        <v>13</v>
      </c>
      <c r="D20" s="24">
        <v>3</v>
      </c>
      <c r="E20" s="24">
        <v>3</v>
      </c>
      <c r="F20" s="24">
        <f t="shared" si="0"/>
        <v>0</v>
      </c>
      <c r="G20" s="24">
        <f>E20/D20*100-100</f>
        <v>0</v>
      </c>
    </row>
    <row r="21" s="20" customFormat="1" ht="33.600000000000001" customHeight="1">
      <c r="A21" s="21"/>
      <c r="B21" s="22" t="s">
        <v>26</v>
      </c>
      <c r="C21" s="23" t="s">
        <v>13</v>
      </c>
      <c r="D21" s="24">
        <v>5.5999999999999996</v>
      </c>
      <c r="E21" s="24">
        <v>5.5999999999999996</v>
      </c>
      <c r="F21" s="24">
        <f t="shared" si="0"/>
        <v>0</v>
      </c>
      <c r="G21" s="24">
        <f t="shared" si="1"/>
        <v>0</v>
      </c>
    </row>
    <row r="22" s="20" customFormat="1" ht="33.600000000000001" customHeight="1">
      <c r="A22" s="21"/>
      <c r="B22" s="22" t="s">
        <v>27</v>
      </c>
      <c r="C22" s="23" t="s">
        <v>13</v>
      </c>
      <c r="D22" s="24">
        <v>0.19</v>
      </c>
      <c r="E22" s="24">
        <v>0.19</v>
      </c>
      <c r="F22" s="24">
        <f t="shared" si="0"/>
        <v>0</v>
      </c>
      <c r="G22" s="24">
        <f t="shared" si="1"/>
        <v>0</v>
      </c>
    </row>
    <row r="23" s="20" customFormat="1" ht="33.600000000000001" customHeight="1">
      <c r="A23" s="21"/>
      <c r="B23" s="22" t="s">
        <v>28</v>
      </c>
      <c r="C23" s="23" t="s">
        <v>13</v>
      </c>
      <c r="D23" s="24">
        <v>0.089999999999999997</v>
      </c>
      <c r="E23" s="24">
        <v>0.089999999999999997</v>
      </c>
      <c r="F23" s="24">
        <f t="shared" si="0"/>
        <v>0</v>
      </c>
      <c r="G23" s="24">
        <f t="shared" si="1"/>
        <v>0</v>
      </c>
    </row>
    <row r="24" s="20" customFormat="1" ht="33.600000000000001" customHeight="1">
      <c r="A24" s="21"/>
      <c r="B24" s="22" t="s">
        <v>29</v>
      </c>
      <c r="C24" s="23" t="s">
        <v>13</v>
      </c>
      <c r="D24" s="24">
        <v>0.17000000000000001</v>
      </c>
      <c r="E24" s="24">
        <v>0.17000000000000001</v>
      </c>
      <c r="F24" s="24">
        <f t="shared" si="0"/>
        <v>0</v>
      </c>
      <c r="G24" s="24">
        <f t="shared" si="1"/>
        <v>0</v>
      </c>
    </row>
    <row r="25" ht="33.600000000000001" customHeight="1">
      <c r="A25" s="19">
        <v>13</v>
      </c>
      <c r="B25" s="14" t="s">
        <v>30</v>
      </c>
      <c r="C25" s="15" t="s">
        <v>13</v>
      </c>
      <c r="D25" s="16">
        <v>3.9500000000000002</v>
      </c>
      <c r="E25" s="16">
        <f>Разъяснения!P16</f>
        <v>6.4013278371298776</v>
      </c>
      <c r="F25" s="16">
        <f t="shared" si="0"/>
        <v>2.4513278371298775</v>
      </c>
      <c r="G25" s="16">
        <f t="shared" si="1"/>
        <v>62.058932585566509</v>
      </c>
    </row>
    <row r="26" ht="33.600000000000001" customHeight="1">
      <c r="A26" s="13">
        <v>14</v>
      </c>
      <c r="B26" s="14" t="s">
        <v>31</v>
      </c>
      <c r="C26" s="15" t="s">
        <v>13</v>
      </c>
      <c r="D26" s="17">
        <v>0.40000000000000002</v>
      </c>
      <c r="E26" s="17">
        <v>0.40000000000000002</v>
      </c>
      <c r="F26" s="17">
        <f t="shared" si="0"/>
        <v>0</v>
      </c>
      <c r="G26" s="17">
        <f t="shared" si="1"/>
        <v>0</v>
      </c>
    </row>
    <row r="27" ht="33.600000000000001" customHeight="1">
      <c r="A27" s="19">
        <v>15</v>
      </c>
      <c r="B27" s="14" t="s">
        <v>32</v>
      </c>
      <c r="C27" s="15" t="s">
        <v>13</v>
      </c>
      <c r="D27" s="17">
        <v>0.20000000000000001</v>
      </c>
      <c r="E27" s="17">
        <v>0.20000000000000001</v>
      </c>
      <c r="F27" s="17">
        <f t="shared" si="0"/>
        <v>0</v>
      </c>
      <c r="G27" s="17">
        <f t="shared" si="1"/>
        <v>0</v>
      </c>
    </row>
    <row r="28">
      <c r="A28" s="25"/>
      <c r="B28" s="25"/>
      <c r="C28" s="25"/>
      <c r="D28" s="25"/>
      <c r="E28" s="25"/>
    </row>
    <row r="29">
      <c r="A29" s="25"/>
      <c r="B29" s="25"/>
      <c r="C29" s="25"/>
      <c r="D29" s="25"/>
      <c r="E29" s="25"/>
    </row>
    <row r="30">
      <c r="A30" s="25"/>
      <c r="B30" s="25"/>
      <c r="C30" s="25"/>
      <c r="D30" s="25"/>
      <c r="E30" s="25"/>
    </row>
    <row r="31">
      <c r="A31" s="25"/>
      <c r="B31" s="25"/>
      <c r="C31" s="25"/>
      <c r="D31" s="25"/>
      <c r="E31" s="25"/>
    </row>
    <row r="32">
      <c r="A32" s="25"/>
      <c r="B32" s="25"/>
      <c r="C32" s="25"/>
      <c r="D32" s="25"/>
      <c r="E32" s="25"/>
    </row>
    <row r="33">
      <c r="A33" s="25"/>
      <c r="B33" s="25"/>
      <c r="C33" s="25"/>
      <c r="D33" s="25"/>
      <c r="E33" s="25"/>
    </row>
    <row r="34">
      <c r="A34" s="25"/>
      <c r="B34" s="25"/>
      <c r="C34" s="25"/>
      <c r="D34" s="25"/>
      <c r="E34" s="25"/>
    </row>
    <row r="35">
      <c r="A35" s="25"/>
      <c r="B35" s="25"/>
      <c r="C35" s="25"/>
      <c r="D35" s="25"/>
      <c r="E35" s="25"/>
    </row>
  </sheetData>
  <mergeCells count="5">
    <mergeCell ref="A3:E3"/>
    <mergeCell ref="A2:E2"/>
    <mergeCell ref="A4:E4"/>
    <mergeCell ref="A5:E5"/>
    <mergeCell ref="A1:B1"/>
  </mergeCells>
  <printOptions headings="0" gridLines="0"/>
  <pageMargins left="0.25" right="0.25" top="0.75" bottom="0.75" header="0.29999999999999999" footer="0.29999999999999999"/>
  <pageSetup paperSize="9" scale="69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5" workbookViewId="0">
      <selection activeCell="A5" activeCellId="0" sqref="A5:G5"/>
    </sheetView>
  </sheetViews>
  <sheetFormatPr defaultRowHeight="12.75"/>
  <cols>
    <col customWidth="1" min="1" max="1" style="26" width="6.5703125"/>
    <col customWidth="1" min="2" max="2" style="26" width="65.42578125"/>
    <col customWidth="1" min="3" max="3" style="26" width="17.28515625"/>
    <col customWidth="1" min="4" max="7" style="26" width="16.85546875"/>
  </cols>
  <sheetData>
    <row r="1" ht="14.25">
      <c r="A1" s="2"/>
      <c r="B1" s="2"/>
      <c r="C1" s="2"/>
      <c r="D1" s="2"/>
      <c r="E1" s="2"/>
      <c r="F1" s="2"/>
      <c r="G1" s="4"/>
    </row>
    <row r="2" ht="14.25">
      <c r="A2" s="5" t="s">
        <v>33</v>
      </c>
      <c r="B2" s="5"/>
      <c r="C2" s="5"/>
      <c r="D2" s="5"/>
      <c r="E2" s="5"/>
      <c r="F2" s="5"/>
      <c r="G2" s="5"/>
    </row>
    <row r="3" ht="14.25">
      <c r="A3" s="5" t="s">
        <v>1</v>
      </c>
      <c r="B3" s="5"/>
      <c r="C3" s="5"/>
      <c r="D3" s="5"/>
      <c r="E3" s="5"/>
      <c r="F3" s="5"/>
      <c r="G3" s="5"/>
    </row>
    <row r="4" ht="14.449999999999999" customHeight="1">
      <c r="A4" s="5" t="s">
        <v>34</v>
      </c>
      <c r="B4" s="5"/>
      <c r="C4" s="5"/>
      <c r="D4" s="5"/>
      <c r="E4" s="5"/>
      <c r="F4" s="5"/>
      <c r="G4" s="5"/>
    </row>
    <row r="5" ht="14.25">
      <c r="A5" s="4"/>
      <c r="B5" s="4"/>
      <c r="C5" s="4"/>
      <c r="D5" s="4"/>
      <c r="E5" s="4"/>
      <c r="F5" s="4"/>
      <c r="G5" s="4"/>
    </row>
    <row r="6" ht="14.25">
      <c r="A6" s="3"/>
      <c r="B6" s="3"/>
      <c r="C6" s="3"/>
      <c r="D6" s="3"/>
      <c r="E6" s="3"/>
      <c r="F6" s="3"/>
      <c r="G6" s="3"/>
    </row>
    <row r="7" ht="51" customHeight="1">
      <c r="A7" s="6" t="s">
        <v>3</v>
      </c>
      <c r="B7" s="6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</row>
    <row r="8" s="27" customFormat="1" ht="34.149999999999999" customHeight="1">
      <c r="A8" s="10" t="s">
        <v>10</v>
      </c>
      <c r="B8" s="11" t="s">
        <v>35</v>
      </c>
      <c r="C8" s="10"/>
      <c r="D8" s="12">
        <f>SUM(D9:D19)+D25+D26+D27</f>
        <v>31.170000000000002</v>
      </c>
      <c r="E8" s="12">
        <f>SUM(E9:E19)+E25+E26+E27</f>
        <v>38.555114784496325</v>
      </c>
      <c r="F8" s="12">
        <f t="shared" ref="F8:F27" si="2">E8-D8</f>
        <v>7.3851147844963236</v>
      </c>
      <c r="G8" s="12">
        <f t="shared" ref="G8:G27" si="3">E8/D8*100-100</f>
        <v>23.693021445288181</v>
      </c>
    </row>
    <row r="9" s="28" customFormat="1" ht="34.899999999999999" customHeight="1">
      <c r="A9" s="29">
        <v>1</v>
      </c>
      <c r="B9" s="30" t="s">
        <v>12</v>
      </c>
      <c r="C9" s="15" t="s">
        <v>13</v>
      </c>
      <c r="D9" s="16">
        <v>5.7199999999999998</v>
      </c>
      <c r="E9" s="16">
        <f>Разъяснения!P11</f>
        <v>7.8777971943266287</v>
      </c>
      <c r="F9" s="16">
        <f t="shared" si="2"/>
        <v>2.157797194326629</v>
      </c>
      <c r="G9" s="16">
        <f t="shared" si="3"/>
        <v>37.723727173542471</v>
      </c>
    </row>
    <row r="10" s="28" customFormat="1" ht="34.899999999999999" customHeight="1">
      <c r="A10" s="29">
        <v>2</v>
      </c>
      <c r="B10" s="31" t="s">
        <v>14</v>
      </c>
      <c r="C10" s="15" t="s">
        <v>13</v>
      </c>
      <c r="D10" s="17">
        <v>6.3300000000000001</v>
      </c>
      <c r="E10" s="17">
        <v>6.3300000000000001</v>
      </c>
      <c r="F10" s="17">
        <f t="shared" si="2"/>
        <v>0</v>
      </c>
      <c r="G10" s="17">
        <f t="shared" si="3"/>
        <v>0</v>
      </c>
    </row>
    <row r="11" s="28" customFormat="1" ht="34.899999999999999" customHeight="1">
      <c r="A11" s="29">
        <v>3</v>
      </c>
      <c r="B11" s="32" t="s">
        <v>36</v>
      </c>
      <c r="C11" s="15" t="s">
        <v>13</v>
      </c>
      <c r="D11" s="17">
        <v>0</v>
      </c>
      <c r="E11" s="17">
        <v>0</v>
      </c>
      <c r="F11" s="17">
        <f t="shared" si="2"/>
        <v>0</v>
      </c>
      <c r="G11" s="17">
        <v>0</v>
      </c>
    </row>
    <row r="12" s="28" customFormat="1" ht="34.899999999999999" customHeight="1">
      <c r="A12" s="29">
        <v>4</v>
      </c>
      <c r="B12" s="32" t="s">
        <v>16</v>
      </c>
      <c r="C12" s="15" t="s">
        <v>13</v>
      </c>
      <c r="D12" s="17">
        <v>0</v>
      </c>
      <c r="E12" s="17">
        <v>0</v>
      </c>
      <c r="F12" s="17">
        <f t="shared" si="2"/>
        <v>0</v>
      </c>
      <c r="G12" s="17">
        <v>0</v>
      </c>
    </row>
    <row r="13" s="28" customFormat="1" ht="34.899999999999999" customHeight="1">
      <c r="A13" s="29">
        <v>5</v>
      </c>
      <c r="B13" s="30" t="s">
        <v>17</v>
      </c>
      <c r="C13" s="15" t="s">
        <v>13</v>
      </c>
      <c r="D13" s="16">
        <v>4.4100000000000001</v>
      </c>
      <c r="E13" s="16">
        <f>Разъяснения!P26</f>
        <v>7.1859897530398191</v>
      </c>
      <c r="F13" s="16">
        <f t="shared" si="2"/>
        <v>2.775989753039819</v>
      </c>
      <c r="G13" s="16">
        <f t="shared" si="3"/>
        <v>62.947613447614941</v>
      </c>
    </row>
    <row r="14" s="28" customFormat="1" ht="34.899999999999999" customHeight="1">
      <c r="A14" s="29">
        <v>6</v>
      </c>
      <c r="B14" s="30" t="s">
        <v>18</v>
      </c>
      <c r="C14" s="15" t="s">
        <v>13</v>
      </c>
      <c r="D14" s="17">
        <v>0.67000000000000004</v>
      </c>
      <c r="E14" s="17">
        <v>0.67000000000000004</v>
      </c>
      <c r="F14" s="17">
        <f t="shared" si="2"/>
        <v>0</v>
      </c>
      <c r="G14" s="17">
        <f t="shared" si="3"/>
        <v>0</v>
      </c>
    </row>
    <row r="15" s="28" customFormat="1" ht="34.899999999999999" customHeight="1">
      <c r="A15" s="29">
        <v>7</v>
      </c>
      <c r="B15" s="30" t="s">
        <v>19</v>
      </c>
      <c r="C15" s="15" t="s">
        <v>13</v>
      </c>
      <c r="D15" s="17">
        <v>0.29999999999999999</v>
      </c>
      <c r="E15" s="17">
        <v>0.29999999999999999</v>
      </c>
      <c r="F15" s="17">
        <f t="shared" si="2"/>
        <v>0</v>
      </c>
      <c r="G15" s="17">
        <f t="shared" si="3"/>
        <v>0</v>
      </c>
    </row>
    <row r="16" s="28" customFormat="1" ht="34.899999999999999" customHeight="1">
      <c r="A16" s="29">
        <v>8</v>
      </c>
      <c r="B16" s="30" t="s">
        <v>20</v>
      </c>
      <c r="C16" s="15" t="s">
        <v>13</v>
      </c>
      <c r="D16" s="17">
        <v>0</v>
      </c>
      <c r="E16" s="17">
        <v>0</v>
      </c>
      <c r="F16" s="17">
        <f t="shared" si="2"/>
        <v>0</v>
      </c>
      <c r="G16" s="17">
        <v>0</v>
      </c>
    </row>
    <row r="17" s="28" customFormat="1" ht="34.899999999999999" customHeight="1">
      <c r="A17" s="29">
        <v>9</v>
      </c>
      <c r="B17" s="30" t="s">
        <v>21</v>
      </c>
      <c r="C17" s="15" t="s">
        <v>13</v>
      </c>
      <c r="D17" s="17">
        <v>0.54000000000000004</v>
      </c>
      <c r="E17" s="17">
        <v>0.54000000000000004</v>
      </c>
      <c r="F17" s="17">
        <f t="shared" si="2"/>
        <v>0</v>
      </c>
      <c r="G17" s="17">
        <f t="shared" si="3"/>
        <v>0</v>
      </c>
    </row>
    <row r="18" s="28" customFormat="1" ht="34.899999999999999" customHeight="1">
      <c r="A18" s="15">
        <v>10</v>
      </c>
      <c r="B18" s="33" t="s">
        <v>37</v>
      </c>
      <c r="C18" s="15" t="s">
        <v>13</v>
      </c>
      <c r="D18" s="17">
        <v>0</v>
      </c>
      <c r="E18" s="17">
        <v>0</v>
      </c>
      <c r="F18" s="17">
        <f t="shared" si="2"/>
        <v>0</v>
      </c>
      <c r="G18" s="17">
        <v>0</v>
      </c>
    </row>
    <row r="19" s="28" customFormat="1" ht="34.899999999999999" customHeight="1">
      <c r="A19" s="29">
        <v>11</v>
      </c>
      <c r="B19" s="34" t="s">
        <v>24</v>
      </c>
      <c r="C19" s="15" t="s">
        <v>13</v>
      </c>
      <c r="D19" s="17">
        <f>SUM(D20:D24)</f>
        <v>9.0499999999999989</v>
      </c>
      <c r="E19" s="17">
        <f>SUM(E20:E24)</f>
        <v>9.0499999999999989</v>
      </c>
      <c r="F19" s="17">
        <f t="shared" si="2"/>
        <v>0</v>
      </c>
      <c r="G19" s="17">
        <f t="shared" si="3"/>
        <v>0</v>
      </c>
    </row>
    <row r="20" s="35" customFormat="1" ht="34.899999999999999" customHeight="1">
      <c r="A20" s="21"/>
      <c r="B20" s="36" t="s">
        <v>25</v>
      </c>
      <c r="C20" s="23" t="s">
        <v>13</v>
      </c>
      <c r="D20" s="24">
        <v>3</v>
      </c>
      <c r="E20" s="24">
        <v>3</v>
      </c>
      <c r="F20" s="24">
        <f t="shared" si="2"/>
        <v>0</v>
      </c>
      <c r="G20" s="24">
        <f t="shared" si="3"/>
        <v>0</v>
      </c>
    </row>
    <row r="21" s="35" customFormat="1" ht="34.899999999999999" customHeight="1">
      <c r="A21" s="21"/>
      <c r="B21" s="37" t="s">
        <v>26</v>
      </c>
      <c r="C21" s="23" t="s">
        <v>13</v>
      </c>
      <c r="D21" s="24">
        <v>5.5999999999999996</v>
      </c>
      <c r="E21" s="24">
        <v>5.5999999999999996</v>
      </c>
      <c r="F21" s="24">
        <f t="shared" si="2"/>
        <v>0</v>
      </c>
      <c r="G21" s="24">
        <f t="shared" si="3"/>
        <v>0</v>
      </c>
    </row>
    <row r="22" s="35" customFormat="1" ht="34.899999999999999" customHeight="1">
      <c r="A22" s="21"/>
      <c r="B22" s="22" t="s">
        <v>27</v>
      </c>
      <c r="C22" s="23" t="s">
        <v>13</v>
      </c>
      <c r="D22" s="24">
        <v>0.19</v>
      </c>
      <c r="E22" s="24">
        <v>0.19</v>
      </c>
      <c r="F22" s="24">
        <f t="shared" si="2"/>
        <v>0</v>
      </c>
      <c r="G22" s="24">
        <f t="shared" si="3"/>
        <v>0</v>
      </c>
    </row>
    <row r="23" s="35" customFormat="1" ht="34.899999999999999" customHeight="1">
      <c r="A23" s="21"/>
      <c r="B23" s="22" t="s">
        <v>28</v>
      </c>
      <c r="C23" s="23" t="s">
        <v>13</v>
      </c>
      <c r="D23" s="24">
        <v>0.089999999999999997</v>
      </c>
      <c r="E23" s="24">
        <v>0.089999999999999997</v>
      </c>
      <c r="F23" s="24">
        <f t="shared" si="2"/>
        <v>0</v>
      </c>
      <c r="G23" s="24">
        <f t="shared" si="3"/>
        <v>0</v>
      </c>
    </row>
    <row r="24" s="35" customFormat="1" ht="34.899999999999999" customHeight="1">
      <c r="A24" s="21"/>
      <c r="B24" s="37" t="s">
        <v>29</v>
      </c>
      <c r="C24" s="23" t="s">
        <v>13</v>
      </c>
      <c r="D24" s="24">
        <v>0.17000000000000001</v>
      </c>
      <c r="E24" s="24">
        <v>0.17000000000000001</v>
      </c>
      <c r="F24" s="24">
        <f t="shared" si="2"/>
        <v>0</v>
      </c>
      <c r="G24" s="24">
        <f t="shared" si="3"/>
        <v>0</v>
      </c>
    </row>
    <row r="25" s="28" customFormat="1" ht="34.899999999999999" customHeight="1">
      <c r="A25" s="15">
        <v>12</v>
      </c>
      <c r="B25" s="14" t="s">
        <v>30</v>
      </c>
      <c r="C25" s="15" t="s">
        <v>13</v>
      </c>
      <c r="D25" s="16">
        <v>3.9500000000000002</v>
      </c>
      <c r="E25" s="16">
        <f>Разъяснения!P16</f>
        <v>6.4013278371298776</v>
      </c>
      <c r="F25" s="16">
        <f t="shared" si="2"/>
        <v>2.4513278371298775</v>
      </c>
      <c r="G25" s="16">
        <f t="shared" si="3"/>
        <v>62.058932585566509</v>
      </c>
    </row>
    <row r="26" s="28" customFormat="1" ht="34.899999999999999" customHeight="1">
      <c r="A26" s="29">
        <v>13</v>
      </c>
      <c r="B26" s="33" t="s">
        <v>31</v>
      </c>
      <c r="C26" s="15" t="s">
        <v>13</v>
      </c>
      <c r="D26" s="17">
        <v>0</v>
      </c>
      <c r="E26" s="17">
        <v>0</v>
      </c>
      <c r="F26" s="17">
        <f t="shared" si="2"/>
        <v>0</v>
      </c>
      <c r="G26" s="17">
        <v>0</v>
      </c>
    </row>
    <row r="27" s="28" customFormat="1" ht="34.899999999999999" customHeight="1">
      <c r="A27" s="15">
        <v>14</v>
      </c>
      <c r="B27" s="38" t="s">
        <v>32</v>
      </c>
      <c r="C27" s="15" t="s">
        <v>13</v>
      </c>
      <c r="D27" s="17">
        <v>0.20000000000000001</v>
      </c>
      <c r="E27" s="17">
        <v>0.20000000000000001</v>
      </c>
      <c r="F27" s="17">
        <f t="shared" si="2"/>
        <v>0</v>
      </c>
      <c r="G27" s="17">
        <f t="shared" si="3"/>
        <v>0</v>
      </c>
    </row>
    <row r="28" ht="14.25">
      <c r="A28" s="25"/>
      <c r="B28" s="25"/>
      <c r="C28" s="25"/>
      <c r="D28" s="25"/>
      <c r="E28" s="25"/>
      <c r="F28" s="25"/>
      <c r="G28" s="25"/>
    </row>
    <row r="29" ht="14.25">
      <c r="A29" s="25"/>
      <c r="B29" s="25"/>
      <c r="C29" s="25"/>
      <c r="D29" s="25"/>
      <c r="E29" s="25"/>
      <c r="F29" s="25"/>
      <c r="G29" s="25"/>
    </row>
    <row r="30" ht="14.25">
      <c r="A30" s="25"/>
      <c r="B30" s="25"/>
      <c r="C30" s="25"/>
      <c r="D30" s="25"/>
      <c r="E30" s="25"/>
      <c r="F30" s="25"/>
      <c r="G30" s="25"/>
    </row>
    <row r="31" ht="14.25">
      <c r="A31" s="25"/>
      <c r="B31" s="25"/>
      <c r="C31" s="25"/>
      <c r="D31" s="25"/>
      <c r="E31" s="25"/>
      <c r="F31" s="25"/>
      <c r="G31" s="25"/>
    </row>
    <row r="32" ht="14.25">
      <c r="A32" s="25"/>
      <c r="B32" s="25"/>
      <c r="C32" s="25"/>
      <c r="D32" s="25"/>
      <c r="E32" s="25"/>
      <c r="F32" s="25"/>
      <c r="G32" s="25"/>
    </row>
    <row r="33" ht="14.25">
      <c r="A33" s="25"/>
      <c r="B33" s="25"/>
      <c r="C33" s="25"/>
      <c r="D33" s="25"/>
      <c r="E33" s="25"/>
      <c r="F33" s="25"/>
      <c r="G33" s="25"/>
    </row>
    <row r="34" ht="14.25">
      <c r="A34" s="25"/>
      <c r="B34" s="25"/>
      <c r="C34" s="25"/>
      <c r="D34" s="25"/>
      <c r="E34" s="25"/>
      <c r="F34" s="25"/>
      <c r="G34" s="25"/>
    </row>
    <row r="35" ht="14.25">
      <c r="A35" s="25"/>
      <c r="B35" s="25"/>
      <c r="C35" s="25"/>
      <c r="D35" s="25"/>
      <c r="E35" s="25"/>
      <c r="F35" s="25"/>
      <c r="G35" s="25"/>
    </row>
    <row r="36" ht="14.25">
      <c r="A36" s="25"/>
      <c r="B36" s="25"/>
      <c r="C36" s="25"/>
      <c r="D36" s="25"/>
      <c r="E36" s="25"/>
      <c r="F36" s="25"/>
      <c r="G36" s="25"/>
    </row>
    <row r="37" ht="14.25">
      <c r="A37" s="25"/>
      <c r="B37" s="25"/>
      <c r="C37" s="25"/>
      <c r="D37" s="25"/>
      <c r="E37" s="25"/>
      <c r="F37" s="25"/>
      <c r="G37" s="25"/>
    </row>
    <row r="38" ht="14.25">
      <c r="A38" s="25"/>
      <c r="B38" s="25"/>
      <c r="C38" s="25"/>
      <c r="D38" s="25"/>
      <c r="E38" s="25"/>
      <c r="F38" s="25"/>
      <c r="G38" s="25"/>
    </row>
    <row r="39" ht="14.25">
      <c r="A39" s="25"/>
      <c r="B39" s="25"/>
      <c r="C39" s="25"/>
      <c r="D39" s="25"/>
      <c r="E39" s="25"/>
      <c r="F39" s="25"/>
      <c r="G39" s="25"/>
    </row>
    <row r="40" ht="14.25">
      <c r="A40" s="25"/>
      <c r="B40" s="25"/>
      <c r="C40" s="25"/>
      <c r="D40" s="25"/>
      <c r="E40" s="25"/>
      <c r="F40" s="25"/>
      <c r="G40" s="25"/>
    </row>
    <row r="41" ht="14.25">
      <c r="A41" s="25"/>
      <c r="B41" s="25"/>
      <c r="C41" s="25"/>
      <c r="D41" s="25"/>
      <c r="E41" s="25"/>
      <c r="F41" s="25"/>
      <c r="G41" s="25"/>
    </row>
    <row r="42" ht="14.25">
      <c r="A42" s="25"/>
      <c r="B42" s="25"/>
      <c r="C42" s="25"/>
      <c r="D42" s="25"/>
      <c r="E42" s="25"/>
      <c r="F42" s="25"/>
      <c r="G42" s="25"/>
    </row>
    <row r="43" ht="14.25">
      <c r="A43" s="2"/>
      <c r="B43" s="2"/>
      <c r="C43" s="2"/>
      <c r="D43" s="2"/>
      <c r="E43" s="2"/>
      <c r="F43" s="2"/>
      <c r="G43" s="2"/>
    </row>
    <row r="44" ht="14.25">
      <c r="A44" s="2"/>
      <c r="B44" s="2"/>
      <c r="C44" s="2"/>
      <c r="D44" s="2"/>
      <c r="E44" s="2"/>
      <c r="F44" s="2"/>
      <c r="G44" s="2"/>
    </row>
    <row r="45" ht="14.25">
      <c r="A45" s="2"/>
      <c r="B45" s="2"/>
      <c r="C45" s="2"/>
      <c r="D45" s="2"/>
      <c r="E45" s="2"/>
      <c r="F45" s="2"/>
      <c r="G45" s="2"/>
    </row>
    <row r="46" ht="14.25">
      <c r="A46" s="2"/>
      <c r="B46" s="2"/>
      <c r="C46" s="2"/>
      <c r="D46" s="2"/>
      <c r="E46" s="2"/>
      <c r="F46" s="2"/>
      <c r="G46" s="2"/>
    </row>
    <row r="47" ht="14.25">
      <c r="A47" s="2"/>
      <c r="B47" s="2"/>
      <c r="C47" s="2"/>
      <c r="D47" s="2"/>
      <c r="E47" s="2"/>
      <c r="F47" s="2"/>
      <c r="G47" s="2"/>
    </row>
    <row r="48" ht="14.25">
      <c r="A48" s="2"/>
      <c r="B48" s="2"/>
      <c r="C48" s="2"/>
      <c r="D48" s="2"/>
      <c r="E48" s="2"/>
      <c r="F48" s="2"/>
      <c r="G48" s="2"/>
    </row>
    <row r="49" ht="14.25">
      <c r="A49" s="2"/>
      <c r="B49" s="2"/>
      <c r="C49" s="2"/>
      <c r="D49" s="2"/>
      <c r="E49" s="2"/>
      <c r="F49" s="2"/>
      <c r="G49" s="2"/>
    </row>
    <row r="50" ht="14.25">
      <c r="A50" s="2"/>
      <c r="B50" s="2"/>
      <c r="C50" s="2"/>
      <c r="D50" s="2"/>
      <c r="E50" s="2"/>
      <c r="F50" s="2"/>
      <c r="G50" s="2"/>
    </row>
    <row r="51" ht="14.25">
      <c r="A51" s="2"/>
      <c r="B51" s="2"/>
      <c r="C51" s="2"/>
      <c r="D51" s="2"/>
      <c r="E51" s="2"/>
      <c r="F51" s="2"/>
      <c r="G51" s="2"/>
    </row>
    <row r="52" ht="14.25">
      <c r="A52" s="2"/>
      <c r="B52" s="2"/>
      <c r="C52" s="2"/>
      <c r="D52" s="2"/>
      <c r="E52" s="2"/>
      <c r="F52" s="2"/>
      <c r="G52" s="2"/>
    </row>
    <row r="53" ht="14.25">
      <c r="A53" s="2"/>
      <c r="B53" s="2"/>
      <c r="C53" s="2"/>
      <c r="D53" s="2"/>
      <c r="E53" s="2"/>
      <c r="F53" s="2"/>
      <c r="G53" s="2"/>
    </row>
    <row r="54" ht="14.25">
      <c r="A54" s="2"/>
      <c r="B54" s="2"/>
      <c r="C54" s="2"/>
      <c r="D54" s="2"/>
      <c r="E54" s="2"/>
      <c r="F54" s="2"/>
      <c r="G54" s="2"/>
    </row>
    <row r="55" ht="14.25">
      <c r="A55" s="2"/>
      <c r="B55" s="2"/>
      <c r="C55" s="2"/>
      <c r="D55" s="2"/>
      <c r="E55" s="2"/>
      <c r="F55" s="2"/>
      <c r="G55" s="2"/>
    </row>
    <row r="56" ht="14.25">
      <c r="A56" s="2"/>
      <c r="B56" s="2"/>
      <c r="C56" s="2"/>
      <c r="D56" s="2"/>
      <c r="E56" s="2"/>
      <c r="F56" s="2"/>
      <c r="G56" s="2"/>
    </row>
    <row r="57" ht="14.25">
      <c r="A57" s="2"/>
      <c r="B57" s="2"/>
      <c r="C57" s="2"/>
      <c r="D57" s="2"/>
      <c r="E57" s="2"/>
      <c r="F57" s="2"/>
      <c r="G57" s="2"/>
    </row>
    <row r="58" ht="14.25">
      <c r="A58" s="2"/>
      <c r="B58" s="2"/>
      <c r="C58" s="2"/>
      <c r="D58" s="2"/>
      <c r="E58" s="2"/>
      <c r="F58" s="2"/>
      <c r="G58" s="2"/>
    </row>
    <row r="59" ht="14.25">
      <c r="A59" s="2"/>
      <c r="B59" s="2"/>
      <c r="C59" s="2"/>
      <c r="D59" s="2"/>
      <c r="E59" s="2"/>
      <c r="F59" s="2"/>
      <c r="G59" s="2"/>
    </row>
    <row r="60" ht="14.25">
      <c r="A60" s="2"/>
      <c r="B60" s="2"/>
      <c r="C60" s="2"/>
      <c r="D60" s="2"/>
      <c r="E60" s="2"/>
      <c r="F60" s="2"/>
      <c r="G60" s="2"/>
    </row>
    <row r="61" ht="14.25">
      <c r="A61" s="2"/>
      <c r="B61" s="2"/>
      <c r="C61" s="2"/>
      <c r="D61" s="2"/>
      <c r="E61" s="2"/>
      <c r="F61" s="2"/>
      <c r="G61" s="2"/>
    </row>
    <row r="62" ht="14.25">
      <c r="A62" s="2"/>
      <c r="B62" s="2"/>
      <c r="C62" s="2"/>
      <c r="D62" s="2"/>
      <c r="E62" s="2"/>
      <c r="F62" s="2"/>
      <c r="G62" s="2"/>
    </row>
    <row r="63" ht="14.25">
      <c r="A63" s="2"/>
      <c r="B63" s="2"/>
      <c r="C63" s="2"/>
      <c r="D63" s="2"/>
      <c r="E63" s="2"/>
      <c r="F63" s="2"/>
      <c r="G63" s="2"/>
    </row>
    <row r="64" ht="14.25">
      <c r="A64" s="2"/>
      <c r="B64" s="2"/>
      <c r="C64" s="2"/>
      <c r="D64" s="2"/>
      <c r="E64" s="2"/>
      <c r="F64" s="2"/>
      <c r="G64" s="2"/>
    </row>
    <row r="65" ht="15">
      <c r="A65" s="2"/>
      <c r="B65" s="2"/>
      <c r="C65" s="2"/>
      <c r="D65" s="2"/>
      <c r="E65" s="2"/>
      <c r="F65" s="2"/>
      <c r="G65" s="2"/>
    </row>
    <row r="66" ht="15">
      <c r="A66" s="2"/>
      <c r="B66" s="2"/>
      <c r="C66" s="2"/>
      <c r="D66" s="2"/>
      <c r="E66" s="2"/>
      <c r="F66" s="2"/>
      <c r="G66" s="2"/>
    </row>
    <row r="67" ht="15">
      <c r="A67" s="2"/>
      <c r="B67" s="2"/>
      <c r="C67" s="2"/>
      <c r="D67" s="2"/>
      <c r="E67" s="2"/>
      <c r="F67" s="2"/>
      <c r="G67" s="2"/>
    </row>
    <row r="68" ht="15">
      <c r="A68" s="2"/>
      <c r="B68" s="2"/>
      <c r="C68" s="2"/>
      <c r="D68" s="2"/>
      <c r="E68" s="2"/>
      <c r="F68" s="2"/>
      <c r="G68" s="2"/>
    </row>
    <row r="69" ht="15">
      <c r="A69" s="2"/>
      <c r="B69" s="2"/>
      <c r="C69" s="2"/>
      <c r="D69" s="2"/>
      <c r="E69" s="2"/>
      <c r="F69" s="2"/>
      <c r="G69" s="2"/>
    </row>
    <row r="70" ht="15">
      <c r="A70" s="2"/>
      <c r="B70" s="2"/>
      <c r="C70" s="2"/>
      <c r="D70" s="2"/>
      <c r="E70" s="2"/>
      <c r="F70" s="2"/>
      <c r="G70" s="2"/>
    </row>
    <row r="71" ht="15">
      <c r="A71" s="2"/>
      <c r="B71" s="2"/>
      <c r="C71" s="2"/>
      <c r="D71" s="2"/>
      <c r="E71" s="2"/>
      <c r="F71" s="2"/>
      <c r="G71" s="2"/>
    </row>
    <row r="72" ht="15">
      <c r="A72" s="2"/>
      <c r="B72" s="2"/>
      <c r="C72" s="2"/>
      <c r="D72" s="2"/>
      <c r="E72" s="2"/>
      <c r="F72" s="2"/>
      <c r="G72" s="2"/>
    </row>
    <row r="73" ht="15">
      <c r="A73" s="2"/>
      <c r="B73" s="2"/>
      <c r="C73" s="2"/>
      <c r="D73" s="2"/>
      <c r="E73" s="2"/>
      <c r="F73" s="2"/>
      <c r="G73" s="2"/>
    </row>
    <row r="74" ht="15">
      <c r="A74" s="2"/>
      <c r="B74" s="2"/>
      <c r="C74" s="2"/>
      <c r="D74" s="2"/>
      <c r="E74" s="2"/>
      <c r="F74" s="2"/>
      <c r="G74" s="2"/>
    </row>
    <row r="75" ht="15">
      <c r="A75" s="2"/>
      <c r="B75" s="2"/>
      <c r="C75" s="2"/>
      <c r="D75" s="2"/>
      <c r="E75" s="2"/>
      <c r="F75" s="2"/>
      <c r="G75" s="2"/>
    </row>
    <row r="76" ht="15">
      <c r="A76" s="2"/>
      <c r="B76" s="2"/>
      <c r="C76" s="2"/>
      <c r="D76" s="2"/>
      <c r="E76" s="2"/>
      <c r="F76" s="2"/>
      <c r="G76" s="2"/>
    </row>
    <row r="77" ht="15">
      <c r="A77" s="2"/>
      <c r="B77" s="2"/>
      <c r="C77" s="2"/>
      <c r="D77" s="2"/>
      <c r="E77" s="2"/>
      <c r="F77" s="2"/>
      <c r="G77" s="2"/>
    </row>
    <row r="78" ht="15">
      <c r="A78" s="2"/>
      <c r="B78" s="2"/>
      <c r="C78" s="2"/>
      <c r="D78" s="2"/>
      <c r="E78" s="2"/>
      <c r="F78" s="2"/>
      <c r="G78" s="2"/>
    </row>
    <row r="79" ht="15">
      <c r="A79" s="2"/>
      <c r="B79" s="2"/>
      <c r="C79" s="2"/>
      <c r="D79" s="2"/>
      <c r="E79" s="2"/>
      <c r="F79" s="2"/>
      <c r="G79" s="2"/>
    </row>
    <row r="80" ht="15">
      <c r="A80" s="2"/>
      <c r="B80" s="2"/>
      <c r="C80" s="2"/>
      <c r="D80" s="2"/>
      <c r="E80" s="2"/>
      <c r="F80" s="2"/>
      <c r="G80" s="2"/>
    </row>
    <row r="81" ht="15">
      <c r="A81" s="2"/>
      <c r="B81" s="2"/>
      <c r="C81" s="2"/>
      <c r="D81" s="2"/>
      <c r="E81" s="2"/>
      <c r="F81" s="2"/>
      <c r="G81" s="2"/>
    </row>
    <row r="82" ht="15">
      <c r="A82" s="2"/>
      <c r="B82" s="2"/>
      <c r="C82" s="2"/>
      <c r="D82" s="2"/>
      <c r="E82" s="2"/>
      <c r="F82" s="2"/>
      <c r="G82" s="2"/>
    </row>
    <row r="83" ht="15">
      <c r="A83" s="2"/>
      <c r="B83" s="2"/>
      <c r="C83" s="2"/>
      <c r="D83" s="2"/>
      <c r="E83" s="2"/>
      <c r="F83" s="2"/>
      <c r="G83" s="2"/>
    </row>
    <row r="84" ht="15">
      <c r="A84" s="2"/>
      <c r="B84" s="2"/>
      <c r="C84" s="2"/>
      <c r="D84" s="2"/>
      <c r="E84" s="2"/>
      <c r="F84" s="2"/>
      <c r="G84" s="2"/>
    </row>
    <row r="85" ht="15">
      <c r="A85" s="2"/>
      <c r="B85" s="2"/>
      <c r="C85" s="2"/>
      <c r="D85" s="2"/>
      <c r="E85" s="2"/>
      <c r="F85" s="2"/>
      <c r="G85" s="2"/>
    </row>
    <row r="86" ht="15">
      <c r="A86" s="2"/>
      <c r="B86" s="2"/>
      <c r="C86" s="2"/>
      <c r="D86" s="2"/>
      <c r="E86" s="2"/>
      <c r="F86" s="2"/>
      <c r="G86" s="2"/>
    </row>
    <row r="87" ht="15">
      <c r="A87" s="2"/>
      <c r="B87" s="2"/>
      <c r="C87" s="2"/>
      <c r="D87" s="2"/>
      <c r="E87" s="2"/>
      <c r="F87" s="2"/>
      <c r="G87" s="2"/>
    </row>
    <row r="88" ht="15">
      <c r="A88" s="2"/>
      <c r="B88" s="2"/>
      <c r="C88" s="2"/>
      <c r="D88" s="2"/>
      <c r="E88" s="2"/>
      <c r="F88" s="2"/>
      <c r="G88" s="2"/>
    </row>
    <row r="89" ht="15">
      <c r="A89" s="2"/>
      <c r="B89" s="2"/>
      <c r="C89" s="2"/>
      <c r="D89" s="2"/>
      <c r="E89" s="2"/>
      <c r="F89" s="2"/>
      <c r="G89" s="2"/>
    </row>
    <row r="90" ht="15">
      <c r="A90" s="2"/>
      <c r="B90" s="2"/>
      <c r="C90" s="2"/>
      <c r="D90" s="2"/>
      <c r="E90" s="2"/>
      <c r="F90" s="2"/>
      <c r="G90" s="2"/>
    </row>
    <row r="91" ht="15">
      <c r="A91" s="2"/>
      <c r="B91" s="2"/>
      <c r="C91" s="2"/>
      <c r="D91" s="2"/>
      <c r="E91" s="2"/>
      <c r="F91" s="2"/>
      <c r="G91" s="2"/>
    </row>
    <row r="92" ht="15">
      <c r="A92" s="2"/>
      <c r="B92" s="2"/>
      <c r="C92" s="2"/>
      <c r="D92" s="2"/>
      <c r="E92" s="2"/>
      <c r="F92" s="2"/>
      <c r="G92" s="2"/>
    </row>
    <row r="93" ht="15">
      <c r="A93" s="2"/>
      <c r="B93" s="2"/>
      <c r="C93" s="2"/>
      <c r="D93" s="2"/>
      <c r="E93" s="2"/>
      <c r="F93" s="2"/>
      <c r="G93" s="2"/>
    </row>
    <row r="94" ht="15">
      <c r="A94" s="2"/>
      <c r="B94" s="2"/>
      <c r="C94" s="2"/>
      <c r="D94" s="2"/>
      <c r="E94" s="2"/>
      <c r="F94" s="2"/>
      <c r="G94" s="2"/>
    </row>
    <row r="95" ht="15">
      <c r="A95" s="2"/>
      <c r="B95" s="2"/>
      <c r="C95" s="2"/>
      <c r="D95" s="2"/>
      <c r="E95" s="2"/>
      <c r="F95" s="2"/>
      <c r="G95" s="2"/>
    </row>
    <row r="96" ht="15">
      <c r="A96" s="2"/>
      <c r="B96" s="2"/>
      <c r="C96" s="2"/>
      <c r="D96" s="2"/>
      <c r="E96" s="2"/>
      <c r="F96" s="2"/>
      <c r="G96" s="2"/>
    </row>
    <row r="97" ht="15">
      <c r="A97" s="2"/>
      <c r="B97" s="2"/>
      <c r="C97" s="2"/>
      <c r="D97" s="2"/>
      <c r="E97" s="2"/>
      <c r="F97" s="2"/>
      <c r="G97" s="2"/>
    </row>
    <row r="98" ht="15">
      <c r="A98" s="2"/>
      <c r="B98" s="2"/>
      <c r="C98" s="2"/>
      <c r="D98" s="2"/>
      <c r="E98" s="2"/>
      <c r="F98" s="2"/>
      <c r="G98" s="2"/>
    </row>
    <row r="99" ht="15">
      <c r="A99" s="2"/>
      <c r="B99" s="2"/>
      <c r="C99" s="2"/>
      <c r="D99" s="2"/>
      <c r="E99" s="2"/>
      <c r="F99" s="2"/>
      <c r="G99" s="2"/>
    </row>
    <row r="100" ht="15">
      <c r="A100" s="2"/>
      <c r="B100" s="2"/>
      <c r="C100" s="2"/>
      <c r="D100" s="2"/>
      <c r="E100" s="2"/>
      <c r="F100" s="2"/>
      <c r="G100" s="2"/>
    </row>
    <row r="101" ht="15">
      <c r="A101" s="2"/>
      <c r="B101" s="2"/>
      <c r="C101" s="2"/>
      <c r="D101" s="2"/>
      <c r="E101" s="2"/>
      <c r="F101" s="2"/>
      <c r="G101" s="2"/>
    </row>
    <row r="102" ht="15">
      <c r="A102" s="2"/>
      <c r="B102" s="2"/>
      <c r="C102" s="2"/>
      <c r="D102" s="2"/>
      <c r="E102" s="2"/>
      <c r="F102" s="2"/>
      <c r="G102" s="2"/>
    </row>
    <row r="103" ht="15">
      <c r="A103" s="2"/>
      <c r="B103" s="2"/>
      <c r="C103" s="2"/>
      <c r="D103" s="2"/>
      <c r="E103" s="2"/>
      <c r="F103" s="2"/>
      <c r="G103" s="2"/>
    </row>
    <row r="104" ht="15">
      <c r="A104" s="2"/>
      <c r="B104" s="2"/>
      <c r="C104" s="2"/>
      <c r="D104" s="2"/>
      <c r="E104" s="2"/>
      <c r="F104" s="2"/>
      <c r="G104" s="2"/>
    </row>
    <row r="105" ht="15">
      <c r="A105" s="2"/>
      <c r="B105" s="2"/>
      <c r="C105" s="2"/>
      <c r="D105" s="2"/>
      <c r="E105" s="2"/>
      <c r="F105" s="2"/>
      <c r="G105" s="2"/>
    </row>
    <row r="106" ht="15">
      <c r="A106" s="2"/>
      <c r="B106" s="2"/>
      <c r="C106" s="2"/>
      <c r="D106" s="2"/>
      <c r="E106" s="2"/>
      <c r="F106" s="2"/>
      <c r="G106" s="2"/>
    </row>
    <row r="107" ht="15">
      <c r="A107" s="2"/>
      <c r="B107" s="2"/>
      <c r="C107" s="2"/>
      <c r="D107" s="2"/>
      <c r="E107" s="2"/>
      <c r="F107" s="2"/>
      <c r="G107" s="2"/>
    </row>
    <row r="108" ht="15">
      <c r="A108" s="2"/>
      <c r="B108" s="2"/>
      <c r="C108" s="2"/>
      <c r="D108" s="2"/>
      <c r="E108" s="2"/>
      <c r="F108" s="2"/>
      <c r="G108" s="2"/>
    </row>
    <row r="109" ht="15">
      <c r="A109" s="2"/>
      <c r="B109" s="2"/>
      <c r="C109" s="2"/>
      <c r="D109" s="2"/>
      <c r="E109" s="2"/>
      <c r="F109" s="2"/>
      <c r="G109" s="2"/>
    </row>
    <row r="110" ht="15">
      <c r="A110" s="2"/>
      <c r="B110" s="2"/>
      <c r="C110" s="2"/>
      <c r="D110" s="2"/>
      <c r="E110" s="2"/>
      <c r="F110" s="2"/>
      <c r="G110" s="2"/>
    </row>
    <row r="111" ht="15">
      <c r="A111" s="2"/>
      <c r="B111" s="2"/>
      <c r="C111" s="2"/>
      <c r="D111" s="2"/>
      <c r="E111" s="2"/>
      <c r="F111" s="2"/>
      <c r="G111" s="2"/>
    </row>
    <row r="112" ht="15">
      <c r="A112" s="2"/>
      <c r="B112" s="2"/>
      <c r="C112" s="2"/>
      <c r="D112" s="2"/>
      <c r="E112" s="2"/>
      <c r="F112" s="2"/>
      <c r="G112" s="2"/>
    </row>
    <row r="113" ht="15">
      <c r="A113" s="2"/>
      <c r="B113" s="2"/>
      <c r="C113" s="2"/>
      <c r="D113" s="2"/>
      <c r="E113" s="2"/>
      <c r="F113" s="2"/>
      <c r="G113" s="2"/>
    </row>
    <row r="114" ht="15">
      <c r="A114" s="2"/>
      <c r="B114" s="2"/>
      <c r="C114" s="2"/>
      <c r="D114" s="2"/>
      <c r="E114" s="2"/>
      <c r="F114" s="2"/>
      <c r="G114" s="2"/>
    </row>
    <row r="115" ht="15">
      <c r="A115" s="2"/>
      <c r="B115" s="2"/>
      <c r="C115" s="2"/>
      <c r="D115" s="2"/>
      <c r="E115" s="2"/>
      <c r="F115" s="2"/>
      <c r="G115" s="2"/>
    </row>
    <row r="116" ht="15">
      <c r="A116" s="2"/>
      <c r="B116" s="2"/>
      <c r="C116" s="2"/>
      <c r="D116" s="2"/>
      <c r="E116" s="2"/>
      <c r="F116" s="2"/>
      <c r="G116" s="2"/>
    </row>
    <row r="117" ht="15">
      <c r="A117" s="2"/>
      <c r="B117" s="2"/>
      <c r="C117" s="2"/>
      <c r="D117" s="2"/>
      <c r="E117" s="2"/>
      <c r="F117" s="2"/>
      <c r="G117" s="2"/>
    </row>
    <row r="118" ht="15">
      <c r="A118" s="2"/>
      <c r="B118" s="2"/>
      <c r="C118" s="2"/>
      <c r="D118" s="2"/>
      <c r="E118" s="2"/>
      <c r="F118" s="2"/>
      <c r="G118" s="2"/>
    </row>
    <row r="119" ht="15">
      <c r="A119" s="2"/>
      <c r="B119" s="2"/>
      <c r="C119" s="2"/>
      <c r="D119" s="2"/>
      <c r="E119" s="2"/>
      <c r="F119" s="2"/>
      <c r="G119" s="2"/>
    </row>
    <row r="120" ht="15">
      <c r="A120" s="2"/>
      <c r="B120" s="2"/>
      <c r="C120" s="2"/>
      <c r="D120" s="2"/>
      <c r="E120" s="2"/>
      <c r="F120" s="2"/>
      <c r="G120" s="2"/>
    </row>
    <row r="121" ht="15">
      <c r="A121" s="2"/>
      <c r="B121" s="2"/>
      <c r="C121" s="2"/>
      <c r="D121" s="2"/>
      <c r="E121" s="2"/>
      <c r="F121" s="2"/>
      <c r="G121" s="2"/>
    </row>
    <row r="122" ht="15">
      <c r="A122" s="2"/>
      <c r="B122" s="2"/>
      <c r="C122" s="2"/>
      <c r="D122" s="2"/>
      <c r="E122" s="2"/>
      <c r="F122" s="2"/>
      <c r="G122" s="2"/>
    </row>
    <row r="123" ht="15">
      <c r="A123" s="2"/>
      <c r="B123" s="2"/>
      <c r="C123" s="2"/>
      <c r="D123" s="2"/>
      <c r="E123" s="2"/>
      <c r="F123" s="2"/>
      <c r="G123" s="2"/>
    </row>
    <row r="124" ht="15">
      <c r="A124" s="2"/>
      <c r="B124" s="2"/>
      <c r="C124" s="2"/>
      <c r="D124" s="2"/>
      <c r="E124" s="2"/>
      <c r="F124" s="2"/>
      <c r="G124" s="2"/>
    </row>
    <row r="125" ht="15">
      <c r="A125" s="2"/>
      <c r="B125" s="2"/>
      <c r="C125" s="2"/>
      <c r="D125" s="2"/>
      <c r="E125" s="2"/>
      <c r="F125" s="2"/>
      <c r="G125" s="2"/>
    </row>
    <row r="126" ht="15">
      <c r="A126" s="2"/>
      <c r="B126" s="2"/>
      <c r="C126" s="2"/>
      <c r="D126" s="2"/>
      <c r="E126" s="2"/>
      <c r="F126" s="2"/>
      <c r="G126" s="2"/>
    </row>
    <row r="127" ht="15">
      <c r="A127" s="2"/>
      <c r="B127" s="2"/>
      <c r="C127" s="2"/>
      <c r="D127" s="2"/>
      <c r="E127" s="2"/>
      <c r="F127" s="2"/>
      <c r="G127" s="2"/>
    </row>
    <row r="128" ht="15">
      <c r="A128" s="2"/>
      <c r="B128" s="2"/>
      <c r="C128" s="2"/>
      <c r="D128" s="2"/>
      <c r="E128" s="2"/>
      <c r="F128" s="2"/>
      <c r="G128" s="2"/>
    </row>
    <row r="129" ht="15">
      <c r="A129" s="2"/>
      <c r="B129" s="2"/>
      <c r="C129" s="2"/>
      <c r="D129" s="2"/>
      <c r="E129" s="2"/>
      <c r="F129" s="2"/>
      <c r="G129" s="2"/>
    </row>
    <row r="130" ht="15">
      <c r="A130" s="2"/>
      <c r="B130" s="2"/>
      <c r="C130" s="2"/>
      <c r="D130" s="2"/>
      <c r="E130" s="2"/>
      <c r="F130" s="2"/>
      <c r="G130" s="2"/>
    </row>
    <row r="131" ht="15">
      <c r="A131" s="2"/>
      <c r="B131" s="2"/>
      <c r="C131" s="2"/>
      <c r="D131" s="2"/>
      <c r="E131" s="2"/>
      <c r="F131" s="2"/>
      <c r="G131" s="2"/>
    </row>
    <row r="132" ht="15">
      <c r="A132" s="2"/>
      <c r="B132" s="2"/>
      <c r="C132" s="2"/>
      <c r="D132" s="2"/>
      <c r="E132" s="2"/>
      <c r="F132" s="2"/>
      <c r="G132" s="2"/>
    </row>
    <row r="133" ht="15">
      <c r="A133" s="2"/>
      <c r="B133" s="2"/>
      <c r="C133" s="2"/>
      <c r="D133" s="2"/>
      <c r="E133" s="2"/>
      <c r="F133" s="2"/>
      <c r="G133" s="2"/>
    </row>
    <row r="134" ht="15">
      <c r="A134" s="2"/>
      <c r="B134" s="2"/>
      <c r="C134" s="2"/>
      <c r="D134" s="2"/>
      <c r="E134" s="2"/>
      <c r="F134" s="2"/>
      <c r="G134" s="2"/>
    </row>
    <row r="135" ht="15">
      <c r="A135" s="2"/>
      <c r="B135" s="2"/>
      <c r="C135" s="2"/>
      <c r="D135" s="2"/>
      <c r="E135" s="2"/>
      <c r="F135" s="2"/>
      <c r="G135" s="2"/>
    </row>
    <row r="136" ht="15">
      <c r="A136" s="2"/>
      <c r="B136" s="2"/>
      <c r="C136" s="2"/>
      <c r="D136" s="2"/>
      <c r="E136" s="2"/>
      <c r="F136" s="2"/>
      <c r="G136" s="2"/>
    </row>
    <row r="137" ht="15">
      <c r="A137" s="2"/>
      <c r="B137" s="2"/>
      <c r="C137" s="2"/>
      <c r="D137" s="2"/>
      <c r="E137" s="2"/>
      <c r="F137" s="2"/>
      <c r="G137" s="2"/>
    </row>
    <row r="138" ht="15">
      <c r="A138" s="2"/>
      <c r="B138" s="2"/>
      <c r="C138" s="2"/>
      <c r="D138" s="2"/>
      <c r="E138" s="2"/>
      <c r="F138" s="2"/>
      <c r="G138" s="2"/>
    </row>
    <row r="139" ht="15">
      <c r="A139" s="2"/>
      <c r="B139" s="2"/>
      <c r="C139" s="2"/>
      <c r="D139" s="2"/>
      <c r="E139" s="2"/>
      <c r="F139" s="2"/>
      <c r="G139" s="2"/>
    </row>
    <row r="140" ht="15">
      <c r="A140" s="2"/>
      <c r="B140" s="2"/>
      <c r="C140" s="2"/>
      <c r="D140" s="2"/>
      <c r="E140" s="2"/>
      <c r="F140" s="2"/>
      <c r="G140" s="2"/>
    </row>
    <row r="141" ht="15">
      <c r="A141" s="2"/>
      <c r="B141" s="2"/>
      <c r="C141" s="2"/>
      <c r="D141" s="2"/>
      <c r="E141" s="2"/>
      <c r="F141" s="2"/>
      <c r="G141" s="2"/>
    </row>
    <row r="142" ht="15">
      <c r="A142" s="2"/>
      <c r="B142" s="2"/>
      <c r="C142" s="2"/>
      <c r="D142" s="2"/>
      <c r="E142" s="2"/>
      <c r="F142" s="2"/>
      <c r="G142" s="2"/>
    </row>
    <row r="143" ht="15">
      <c r="A143" s="2"/>
      <c r="B143" s="2"/>
      <c r="C143" s="2"/>
      <c r="D143" s="2"/>
      <c r="E143" s="2"/>
      <c r="F143" s="2"/>
      <c r="G143" s="2"/>
    </row>
    <row r="144" ht="15">
      <c r="A144" s="2"/>
      <c r="B144" s="2"/>
      <c r="C144" s="2"/>
      <c r="D144" s="2"/>
      <c r="E144" s="2"/>
      <c r="F144" s="2"/>
      <c r="G144" s="2"/>
    </row>
    <row r="145" ht="15">
      <c r="A145" s="2"/>
      <c r="B145" s="2"/>
      <c r="C145" s="2"/>
      <c r="D145" s="2"/>
      <c r="E145" s="2"/>
      <c r="F145" s="2"/>
      <c r="G145" s="2"/>
    </row>
    <row r="146" ht="15">
      <c r="A146" s="2"/>
      <c r="B146" s="2"/>
      <c r="C146" s="2"/>
      <c r="D146" s="2"/>
      <c r="E146" s="2"/>
      <c r="F146" s="2"/>
      <c r="G146" s="2"/>
    </row>
    <row r="147" ht="15">
      <c r="A147" s="2"/>
      <c r="B147" s="2"/>
      <c r="C147" s="2"/>
      <c r="D147" s="2"/>
      <c r="E147" s="2"/>
      <c r="F147" s="2"/>
      <c r="G147" s="2"/>
    </row>
    <row r="148" ht="15">
      <c r="A148" s="2"/>
      <c r="B148" s="2"/>
      <c r="C148" s="2"/>
      <c r="D148" s="2"/>
      <c r="E148" s="2"/>
      <c r="F148" s="2"/>
      <c r="G148" s="2"/>
    </row>
    <row r="149" ht="15">
      <c r="A149" s="2"/>
      <c r="B149" s="2"/>
      <c r="C149" s="2"/>
      <c r="D149" s="2"/>
      <c r="E149" s="2"/>
      <c r="F149" s="2"/>
      <c r="G149" s="2"/>
    </row>
    <row r="150" ht="15">
      <c r="A150" s="2"/>
      <c r="B150" s="2"/>
      <c r="C150" s="2"/>
      <c r="D150" s="2"/>
      <c r="E150" s="2"/>
      <c r="F150" s="2"/>
      <c r="G150" s="2"/>
    </row>
    <row r="151" ht="15">
      <c r="A151" s="2"/>
      <c r="B151" s="2"/>
      <c r="C151" s="2"/>
      <c r="D151" s="2"/>
      <c r="E151" s="2"/>
      <c r="F151" s="2"/>
      <c r="G151" s="2"/>
    </row>
    <row r="152" ht="15">
      <c r="A152" s="2"/>
      <c r="B152" s="2"/>
      <c r="C152" s="2"/>
      <c r="D152" s="2"/>
      <c r="E152" s="2"/>
      <c r="F152" s="2"/>
      <c r="G152" s="2"/>
    </row>
    <row r="153" ht="15">
      <c r="A153" s="2"/>
      <c r="B153" s="2"/>
      <c r="C153" s="2"/>
      <c r="D153" s="2"/>
      <c r="E153" s="2"/>
      <c r="F153" s="2"/>
      <c r="G153" s="2"/>
    </row>
    <row r="154" ht="15">
      <c r="A154" s="2"/>
      <c r="B154" s="2"/>
      <c r="C154" s="2"/>
      <c r="D154" s="2"/>
      <c r="E154" s="2"/>
      <c r="F154" s="2"/>
      <c r="G154" s="2"/>
    </row>
    <row r="155" ht="15">
      <c r="A155" s="2"/>
      <c r="B155" s="2"/>
      <c r="C155" s="2"/>
      <c r="D155" s="2"/>
      <c r="E155" s="2"/>
      <c r="F155" s="2"/>
      <c r="G155" s="2"/>
    </row>
    <row r="156" ht="15">
      <c r="A156" s="2"/>
      <c r="B156" s="2"/>
      <c r="C156" s="2"/>
      <c r="D156" s="2"/>
      <c r="E156" s="2"/>
      <c r="F156" s="2"/>
      <c r="G156" s="2"/>
    </row>
    <row r="157" ht="15">
      <c r="A157" s="2"/>
      <c r="B157" s="2"/>
      <c r="C157" s="2"/>
      <c r="D157" s="2"/>
      <c r="E157" s="2"/>
      <c r="F157" s="2"/>
      <c r="G157" s="2"/>
    </row>
    <row r="158" ht="15">
      <c r="A158" s="2"/>
      <c r="B158" s="2"/>
      <c r="C158" s="2"/>
      <c r="D158" s="2"/>
      <c r="E158" s="2"/>
      <c r="F158" s="2"/>
      <c r="G158" s="2"/>
    </row>
    <row r="159" ht="15">
      <c r="A159" s="2"/>
      <c r="B159" s="2"/>
      <c r="C159" s="2"/>
      <c r="D159" s="2"/>
      <c r="E159" s="2"/>
      <c r="F159" s="2"/>
      <c r="G159" s="2"/>
    </row>
    <row r="160" ht="15">
      <c r="A160" s="2"/>
      <c r="B160" s="2"/>
      <c r="C160" s="2"/>
      <c r="D160" s="2"/>
      <c r="E160" s="2"/>
      <c r="F160" s="2"/>
      <c r="G160" s="2"/>
    </row>
    <row r="161" ht="15">
      <c r="A161" s="2"/>
      <c r="B161" s="2"/>
      <c r="C161" s="2"/>
      <c r="D161" s="2"/>
      <c r="E161" s="2"/>
      <c r="F161" s="2"/>
      <c r="G161" s="2"/>
    </row>
    <row r="162" ht="15">
      <c r="A162" s="2"/>
      <c r="B162" s="2"/>
      <c r="C162" s="2"/>
      <c r="D162" s="2"/>
      <c r="E162" s="2"/>
      <c r="F162" s="2"/>
      <c r="G162" s="2"/>
    </row>
    <row r="163" ht="15">
      <c r="A163" s="2"/>
      <c r="B163" s="2"/>
      <c r="C163" s="2"/>
      <c r="D163" s="2"/>
      <c r="E163" s="2"/>
      <c r="F163" s="2"/>
      <c r="G163" s="2"/>
    </row>
    <row r="164" ht="15">
      <c r="A164" s="2"/>
      <c r="B164" s="2"/>
      <c r="C164" s="2"/>
      <c r="D164" s="2"/>
      <c r="E164" s="2"/>
      <c r="F164" s="2"/>
      <c r="G164" s="2"/>
    </row>
    <row r="165" ht="15">
      <c r="A165" s="2"/>
      <c r="B165" s="2"/>
      <c r="C165" s="2"/>
      <c r="D165" s="2"/>
      <c r="E165" s="2"/>
      <c r="F165" s="2"/>
      <c r="G165" s="2"/>
    </row>
    <row r="166" ht="15">
      <c r="A166" s="2"/>
      <c r="B166" s="2"/>
      <c r="C166" s="2"/>
      <c r="D166" s="2"/>
      <c r="E166" s="2"/>
      <c r="F166" s="2"/>
      <c r="G166" s="2"/>
    </row>
    <row r="167" ht="15">
      <c r="A167" s="2"/>
      <c r="B167" s="2"/>
      <c r="C167" s="2"/>
      <c r="D167" s="2"/>
      <c r="E167" s="2"/>
      <c r="F167" s="2"/>
      <c r="G167" s="2"/>
    </row>
    <row r="168" ht="15">
      <c r="A168" s="2"/>
      <c r="B168" s="2"/>
      <c r="C168" s="2"/>
      <c r="D168" s="2"/>
      <c r="E168" s="2"/>
      <c r="F168" s="2"/>
      <c r="G168" s="2"/>
    </row>
    <row r="169" ht="15">
      <c r="A169" s="2"/>
      <c r="B169" s="2"/>
      <c r="C169" s="2"/>
      <c r="D169" s="2"/>
      <c r="E169" s="2"/>
      <c r="F169" s="2"/>
      <c r="G169" s="2"/>
    </row>
    <row r="170" ht="15">
      <c r="A170" s="2"/>
      <c r="B170" s="2"/>
      <c r="C170" s="2"/>
      <c r="D170" s="2"/>
      <c r="E170" s="2"/>
      <c r="F170" s="2"/>
      <c r="G170" s="2"/>
    </row>
    <row r="171" ht="15">
      <c r="A171" s="2"/>
      <c r="B171" s="2"/>
      <c r="C171" s="2"/>
      <c r="D171" s="2"/>
      <c r="E171" s="2"/>
      <c r="F171" s="2"/>
      <c r="G171" s="2"/>
    </row>
    <row r="172" ht="15">
      <c r="A172" s="2"/>
      <c r="B172" s="2"/>
      <c r="C172" s="2"/>
      <c r="D172" s="2"/>
      <c r="E172" s="2"/>
      <c r="F172" s="2"/>
      <c r="G172" s="2"/>
    </row>
    <row r="173" ht="15">
      <c r="A173" s="2"/>
      <c r="B173" s="2"/>
      <c r="C173" s="2"/>
      <c r="D173" s="2"/>
      <c r="E173" s="2"/>
      <c r="F173" s="2"/>
      <c r="G173" s="2"/>
    </row>
    <row r="174" ht="15">
      <c r="A174" s="2"/>
      <c r="B174" s="2"/>
      <c r="C174" s="2"/>
      <c r="D174" s="2"/>
      <c r="E174" s="2"/>
      <c r="F174" s="2"/>
      <c r="G174" s="2"/>
    </row>
    <row r="175" ht="15">
      <c r="A175" s="2"/>
      <c r="B175" s="2"/>
      <c r="C175" s="2"/>
      <c r="D175" s="2"/>
      <c r="E175" s="2"/>
      <c r="F175" s="2"/>
      <c r="G175" s="2"/>
    </row>
    <row r="176" ht="15">
      <c r="A176" s="2"/>
      <c r="B176" s="2"/>
      <c r="C176" s="2"/>
      <c r="D176" s="2"/>
      <c r="E176" s="2"/>
      <c r="F176" s="2"/>
      <c r="G176" s="2"/>
    </row>
    <row r="177" ht="15">
      <c r="A177" s="2"/>
      <c r="B177" s="2"/>
      <c r="C177" s="2"/>
      <c r="D177" s="2"/>
      <c r="E177" s="2"/>
      <c r="F177" s="2"/>
      <c r="G177" s="2"/>
    </row>
    <row r="178" ht="15">
      <c r="A178" s="2"/>
      <c r="B178" s="2"/>
      <c r="C178" s="2"/>
      <c r="D178" s="2"/>
      <c r="E178" s="2"/>
      <c r="F178" s="2"/>
      <c r="G178" s="2"/>
    </row>
    <row r="179" ht="15">
      <c r="A179" s="2"/>
      <c r="B179" s="2"/>
      <c r="C179" s="2"/>
      <c r="D179" s="2"/>
      <c r="E179" s="2"/>
      <c r="F179" s="2"/>
      <c r="G179" s="2"/>
    </row>
    <row r="180" ht="15">
      <c r="A180" s="2"/>
      <c r="B180" s="2"/>
      <c r="C180" s="2"/>
      <c r="D180" s="2"/>
      <c r="E180" s="2"/>
      <c r="F180" s="2"/>
      <c r="G180" s="2"/>
    </row>
    <row r="181" ht="15">
      <c r="A181" s="2"/>
      <c r="B181" s="2"/>
      <c r="C181" s="2"/>
      <c r="D181" s="2"/>
      <c r="E181" s="2"/>
      <c r="F181" s="2"/>
      <c r="G181" s="2"/>
    </row>
    <row r="182" ht="15">
      <c r="A182" s="2"/>
      <c r="B182" s="2"/>
      <c r="C182" s="2"/>
      <c r="D182" s="2"/>
      <c r="E182" s="2"/>
      <c r="F182" s="2"/>
      <c r="G182" s="2"/>
    </row>
    <row r="183" ht="15">
      <c r="A183" s="2"/>
      <c r="B183" s="2"/>
      <c r="C183" s="2"/>
      <c r="D183" s="2"/>
      <c r="E183" s="2"/>
      <c r="F183" s="2"/>
      <c r="G183" s="2"/>
    </row>
    <row r="184" ht="15">
      <c r="A184" s="2"/>
      <c r="B184" s="2"/>
      <c r="C184" s="2"/>
      <c r="D184" s="2"/>
      <c r="E184" s="2"/>
      <c r="F184" s="2"/>
      <c r="G184" s="2"/>
    </row>
    <row r="185" ht="15">
      <c r="A185" s="2"/>
      <c r="B185" s="2"/>
      <c r="C185" s="2"/>
      <c r="D185" s="2"/>
      <c r="E185" s="2"/>
      <c r="F185" s="2"/>
      <c r="G185" s="2"/>
    </row>
    <row r="186" ht="15">
      <c r="A186" s="2"/>
      <c r="B186" s="2"/>
      <c r="C186" s="2"/>
      <c r="D186" s="2"/>
      <c r="E186" s="2"/>
      <c r="F186" s="2"/>
      <c r="G186" s="2"/>
    </row>
    <row r="187" ht="15">
      <c r="A187" s="2"/>
      <c r="B187" s="2"/>
      <c r="C187" s="2"/>
      <c r="D187" s="2"/>
      <c r="E187" s="2"/>
      <c r="F187" s="2"/>
      <c r="G187" s="2"/>
    </row>
    <row r="188" ht="15">
      <c r="A188" s="2"/>
      <c r="B188" s="2"/>
      <c r="C188" s="2"/>
      <c r="D188" s="2"/>
      <c r="E188" s="2"/>
      <c r="F188" s="2"/>
      <c r="G188" s="2"/>
    </row>
    <row r="189" ht="15">
      <c r="A189" s="2"/>
      <c r="B189" s="2"/>
      <c r="C189" s="2"/>
      <c r="D189" s="2"/>
      <c r="E189" s="2"/>
      <c r="F189" s="2"/>
      <c r="G189" s="2"/>
    </row>
    <row r="190" ht="15">
      <c r="A190" s="2"/>
      <c r="B190" s="2"/>
      <c r="C190" s="2"/>
      <c r="D190" s="2"/>
      <c r="E190" s="2"/>
      <c r="F190" s="2"/>
      <c r="G190" s="2"/>
    </row>
    <row r="191" ht="15">
      <c r="A191" s="2"/>
      <c r="B191" s="2"/>
      <c r="C191" s="2"/>
      <c r="D191" s="2"/>
      <c r="E191" s="2"/>
      <c r="F191" s="2"/>
      <c r="G191" s="2"/>
    </row>
    <row r="192" ht="15">
      <c r="A192" s="2"/>
      <c r="B192" s="2"/>
      <c r="C192" s="2"/>
      <c r="D192" s="2"/>
      <c r="E192" s="2"/>
      <c r="F192" s="2"/>
      <c r="G192" s="2"/>
    </row>
    <row r="193" ht="15">
      <c r="A193" s="2"/>
      <c r="B193" s="2"/>
      <c r="C193" s="2"/>
      <c r="D193" s="2"/>
      <c r="E193" s="2"/>
      <c r="F193" s="2"/>
      <c r="G193" s="2"/>
    </row>
    <row r="194" ht="15">
      <c r="A194" s="2"/>
      <c r="B194" s="2"/>
      <c r="C194" s="2"/>
      <c r="D194" s="2"/>
      <c r="E194" s="2"/>
      <c r="F194" s="2"/>
      <c r="G194" s="2"/>
    </row>
    <row r="195" ht="15">
      <c r="A195" s="2"/>
      <c r="B195" s="2"/>
      <c r="C195" s="2"/>
      <c r="D195" s="2"/>
      <c r="E195" s="2"/>
      <c r="F195" s="2"/>
      <c r="G195" s="2"/>
    </row>
    <row r="196" ht="15">
      <c r="A196" s="2"/>
      <c r="B196" s="2"/>
      <c r="C196" s="2"/>
      <c r="D196" s="2"/>
      <c r="E196" s="2"/>
      <c r="F196" s="2"/>
      <c r="G196" s="2"/>
    </row>
    <row r="197" ht="15">
      <c r="A197" s="2"/>
      <c r="B197" s="2"/>
      <c r="C197" s="2"/>
      <c r="D197" s="2"/>
      <c r="E197" s="2"/>
      <c r="F197" s="2"/>
      <c r="G197" s="2"/>
    </row>
    <row r="198" ht="15">
      <c r="A198" s="2"/>
      <c r="B198" s="2"/>
      <c r="C198" s="2"/>
      <c r="D198" s="2"/>
      <c r="E198" s="2"/>
      <c r="F198" s="2"/>
      <c r="G198" s="2"/>
    </row>
    <row r="199" ht="15">
      <c r="A199" s="2"/>
      <c r="B199" s="2"/>
      <c r="C199" s="2"/>
      <c r="D199" s="2"/>
      <c r="E199" s="2"/>
      <c r="F199" s="2"/>
      <c r="G199" s="2"/>
    </row>
    <row r="200" ht="15">
      <c r="A200" s="2"/>
      <c r="B200" s="2"/>
      <c r="C200" s="2"/>
      <c r="D200" s="2"/>
      <c r="E200" s="2"/>
      <c r="F200" s="2"/>
      <c r="G200" s="2"/>
    </row>
    <row r="201" ht="15">
      <c r="A201" s="2"/>
      <c r="B201" s="2"/>
      <c r="C201" s="2"/>
      <c r="D201" s="2"/>
      <c r="E201" s="2"/>
      <c r="F201" s="2"/>
      <c r="G201" s="2"/>
    </row>
    <row r="202" ht="15">
      <c r="A202" s="2"/>
      <c r="B202" s="2"/>
      <c r="C202" s="2"/>
      <c r="D202" s="2"/>
      <c r="E202" s="2"/>
      <c r="F202" s="2"/>
      <c r="G202" s="2"/>
    </row>
    <row r="203" ht="15">
      <c r="A203" s="2"/>
      <c r="B203" s="2"/>
      <c r="C203" s="2"/>
      <c r="D203" s="2"/>
      <c r="E203" s="2"/>
      <c r="F203" s="2"/>
      <c r="G203" s="2"/>
    </row>
    <row r="204" ht="15">
      <c r="A204" s="2"/>
      <c r="B204" s="2"/>
      <c r="C204" s="2"/>
      <c r="D204" s="2"/>
      <c r="E204" s="2"/>
      <c r="F204" s="2"/>
      <c r="G204" s="2"/>
    </row>
    <row r="205" ht="15">
      <c r="A205" s="2"/>
      <c r="B205" s="2"/>
      <c r="C205" s="2"/>
      <c r="D205" s="2"/>
      <c r="E205" s="2"/>
      <c r="F205" s="2"/>
      <c r="G205" s="2"/>
    </row>
    <row r="206" ht="15">
      <c r="A206" s="2"/>
      <c r="B206" s="2"/>
      <c r="C206" s="2"/>
      <c r="D206" s="2"/>
      <c r="E206" s="2"/>
      <c r="F206" s="2"/>
      <c r="G206" s="2"/>
    </row>
    <row r="207" ht="15">
      <c r="A207" s="2"/>
      <c r="B207" s="2"/>
      <c r="C207" s="2"/>
      <c r="D207" s="2"/>
      <c r="E207" s="2"/>
      <c r="F207" s="2"/>
      <c r="G207" s="2"/>
    </row>
    <row r="208" ht="15">
      <c r="A208" s="2"/>
      <c r="B208" s="2"/>
      <c r="C208" s="2"/>
      <c r="D208" s="2"/>
      <c r="E208" s="2"/>
      <c r="F208" s="2"/>
      <c r="G208" s="2"/>
    </row>
    <row r="209" ht="15">
      <c r="A209" s="2"/>
      <c r="B209" s="2"/>
      <c r="C209" s="2"/>
      <c r="D209" s="2"/>
      <c r="E209" s="2"/>
      <c r="F209" s="2"/>
      <c r="G209" s="2"/>
    </row>
    <row r="210" ht="15">
      <c r="A210" s="2"/>
      <c r="B210" s="2"/>
      <c r="C210" s="2"/>
      <c r="D210" s="2"/>
      <c r="E210" s="2"/>
      <c r="F210" s="2"/>
      <c r="G210" s="2"/>
    </row>
    <row r="211" ht="15">
      <c r="A211" s="2"/>
      <c r="B211" s="2"/>
      <c r="C211" s="2"/>
      <c r="D211" s="2"/>
      <c r="E211" s="2"/>
      <c r="F211" s="2"/>
      <c r="G211" s="2"/>
    </row>
    <row r="212" ht="15">
      <c r="A212" s="2"/>
      <c r="B212" s="2"/>
      <c r="C212" s="2"/>
      <c r="D212" s="2"/>
      <c r="E212" s="2"/>
      <c r="F212" s="2"/>
      <c r="G212" s="2"/>
    </row>
    <row r="213" ht="15">
      <c r="A213" s="2"/>
      <c r="B213" s="2"/>
      <c r="C213" s="2"/>
      <c r="D213" s="2"/>
      <c r="E213" s="2"/>
      <c r="F213" s="2"/>
      <c r="G213" s="2"/>
    </row>
    <row r="214" ht="15">
      <c r="A214" s="2"/>
      <c r="B214" s="2"/>
      <c r="C214" s="2"/>
      <c r="D214" s="2"/>
      <c r="E214" s="2"/>
      <c r="F214" s="2"/>
      <c r="G214" s="2"/>
    </row>
    <row r="215" ht="15">
      <c r="A215" s="2"/>
      <c r="B215" s="2"/>
      <c r="C215" s="2"/>
      <c r="D215" s="2"/>
      <c r="E215" s="2"/>
      <c r="F215" s="2"/>
      <c r="G215" s="2"/>
    </row>
    <row r="216" ht="15">
      <c r="A216" s="2"/>
      <c r="B216" s="2"/>
      <c r="C216" s="2"/>
      <c r="D216" s="2"/>
      <c r="E216" s="2"/>
      <c r="F216" s="2"/>
      <c r="G216" s="2"/>
    </row>
    <row r="217" ht="15">
      <c r="A217" s="2"/>
      <c r="B217" s="2"/>
      <c r="C217" s="2"/>
      <c r="D217" s="2"/>
      <c r="E217" s="2"/>
      <c r="F217" s="2"/>
      <c r="G217" s="2"/>
    </row>
    <row r="218" ht="15">
      <c r="A218" s="2"/>
      <c r="B218" s="2"/>
      <c r="C218" s="2"/>
      <c r="D218" s="2"/>
      <c r="E218" s="2"/>
      <c r="F218" s="2"/>
      <c r="G218" s="2"/>
    </row>
    <row r="219" ht="15">
      <c r="A219" s="2"/>
      <c r="B219" s="2"/>
      <c r="C219" s="2"/>
      <c r="D219" s="2"/>
      <c r="E219" s="2"/>
      <c r="F219" s="2"/>
      <c r="G219" s="2"/>
    </row>
    <row r="220" ht="15">
      <c r="A220" s="2"/>
      <c r="B220" s="2"/>
      <c r="C220" s="2"/>
      <c r="D220" s="2"/>
      <c r="E220" s="2"/>
      <c r="F220" s="2"/>
      <c r="G220" s="2"/>
    </row>
    <row r="221" ht="15">
      <c r="A221" s="2"/>
      <c r="B221" s="2"/>
      <c r="C221" s="2"/>
      <c r="D221" s="2"/>
      <c r="E221" s="2"/>
      <c r="F221" s="2"/>
      <c r="G221" s="2"/>
    </row>
    <row r="222" ht="15">
      <c r="A222" s="2"/>
      <c r="B222" s="2"/>
      <c r="C222" s="2"/>
      <c r="D222" s="2"/>
      <c r="E222" s="2"/>
      <c r="F222" s="2"/>
      <c r="G222" s="2"/>
    </row>
    <row r="223" ht="15">
      <c r="A223" s="2"/>
      <c r="B223" s="2"/>
      <c r="C223" s="2"/>
      <c r="D223" s="2"/>
      <c r="E223" s="2"/>
      <c r="F223" s="2"/>
      <c r="G223" s="2"/>
    </row>
    <row r="224" ht="15">
      <c r="A224" s="2"/>
      <c r="B224" s="2"/>
      <c r="C224" s="2"/>
      <c r="D224" s="2"/>
      <c r="E224" s="2"/>
      <c r="F224" s="2"/>
      <c r="G224" s="2"/>
    </row>
    <row r="225" ht="15">
      <c r="A225" s="2"/>
      <c r="B225" s="2"/>
      <c r="C225" s="2"/>
      <c r="D225" s="2"/>
      <c r="E225" s="2"/>
      <c r="F225" s="2"/>
      <c r="G225" s="2"/>
    </row>
    <row r="226" ht="15">
      <c r="A226" s="2"/>
      <c r="B226" s="2"/>
      <c r="C226" s="2"/>
      <c r="D226" s="2"/>
      <c r="E226" s="2"/>
      <c r="F226" s="2"/>
      <c r="G226" s="2"/>
    </row>
    <row r="227" ht="15">
      <c r="A227" s="2"/>
      <c r="B227" s="2"/>
      <c r="C227" s="2"/>
      <c r="D227" s="2"/>
      <c r="E227" s="2"/>
      <c r="F227" s="2"/>
      <c r="G227" s="2"/>
    </row>
    <row r="228" ht="15">
      <c r="A228" s="2"/>
      <c r="B228" s="2"/>
      <c r="C228" s="2"/>
      <c r="D228" s="2"/>
      <c r="E228" s="2"/>
      <c r="F228" s="2"/>
      <c r="G228" s="2"/>
    </row>
    <row r="229" ht="15">
      <c r="A229" s="2"/>
      <c r="B229" s="2"/>
      <c r="C229" s="2"/>
      <c r="D229" s="2"/>
      <c r="E229" s="2"/>
      <c r="F229" s="2"/>
      <c r="G229" s="2"/>
    </row>
    <row r="230" ht="15">
      <c r="A230" s="2"/>
      <c r="B230" s="2"/>
      <c r="C230" s="2"/>
      <c r="D230" s="2"/>
      <c r="E230" s="2"/>
      <c r="F230" s="2"/>
      <c r="G230" s="2"/>
    </row>
    <row r="231" ht="15">
      <c r="A231" s="2"/>
      <c r="B231" s="2"/>
      <c r="C231" s="2"/>
      <c r="D231" s="2"/>
      <c r="E231" s="2"/>
      <c r="F231" s="2"/>
      <c r="G231" s="2"/>
    </row>
    <row r="232" ht="15">
      <c r="A232" s="2"/>
      <c r="B232" s="2"/>
      <c r="C232" s="2"/>
      <c r="D232" s="2"/>
      <c r="E232" s="2"/>
      <c r="F232" s="2"/>
      <c r="G232" s="2"/>
    </row>
    <row r="233" ht="15">
      <c r="A233" s="2"/>
      <c r="B233" s="2"/>
      <c r="C233" s="2"/>
      <c r="D233" s="2"/>
      <c r="E233" s="2"/>
      <c r="F233" s="2"/>
      <c r="G233" s="2"/>
    </row>
    <row r="234" ht="15">
      <c r="A234" s="2"/>
      <c r="B234" s="2"/>
      <c r="C234" s="2"/>
      <c r="D234" s="2"/>
      <c r="E234" s="2"/>
      <c r="F234" s="2"/>
      <c r="G234" s="2"/>
    </row>
    <row r="235" ht="15">
      <c r="A235" s="2"/>
      <c r="B235" s="2"/>
      <c r="C235" s="2"/>
      <c r="D235" s="2"/>
      <c r="E235" s="2"/>
      <c r="F235" s="2"/>
      <c r="G235" s="2"/>
    </row>
    <row r="236" ht="15">
      <c r="A236" s="2"/>
      <c r="B236" s="2"/>
      <c r="C236" s="2"/>
      <c r="D236" s="2"/>
      <c r="E236" s="2"/>
      <c r="F236" s="2"/>
      <c r="G236" s="2"/>
    </row>
    <row r="237" ht="15">
      <c r="A237" s="2"/>
      <c r="B237" s="2"/>
      <c r="C237" s="2"/>
      <c r="D237" s="2"/>
      <c r="E237" s="2"/>
      <c r="F237" s="2"/>
      <c r="G237" s="2"/>
    </row>
    <row r="238" ht="15">
      <c r="A238" s="2"/>
      <c r="B238" s="2"/>
      <c r="C238" s="2"/>
      <c r="D238" s="2"/>
      <c r="E238" s="2"/>
      <c r="F238" s="2"/>
      <c r="G238" s="2"/>
    </row>
    <row r="239" ht="15">
      <c r="A239" s="2"/>
      <c r="B239" s="2"/>
      <c r="C239" s="2"/>
      <c r="D239" s="2"/>
      <c r="E239" s="2"/>
      <c r="F239" s="2"/>
      <c r="G239" s="2"/>
    </row>
    <row r="240" ht="15">
      <c r="A240" s="2"/>
      <c r="B240" s="2"/>
      <c r="C240" s="2"/>
      <c r="D240" s="2"/>
      <c r="E240" s="2"/>
      <c r="F240" s="2"/>
      <c r="G240" s="2"/>
    </row>
    <row r="241" ht="15">
      <c r="A241" s="2"/>
      <c r="B241" s="2"/>
      <c r="C241" s="2"/>
      <c r="D241" s="2"/>
      <c r="E241" s="2"/>
      <c r="F241" s="2"/>
      <c r="G241" s="2"/>
    </row>
    <row r="242" ht="15">
      <c r="A242" s="2"/>
      <c r="B242" s="2"/>
      <c r="C242" s="2"/>
      <c r="D242" s="2"/>
      <c r="E242" s="2"/>
      <c r="F242" s="2"/>
      <c r="G242" s="2"/>
    </row>
    <row r="243" ht="15">
      <c r="A243" s="2"/>
      <c r="B243" s="2"/>
      <c r="C243" s="2"/>
      <c r="D243" s="2"/>
      <c r="E243" s="2"/>
      <c r="F243" s="2"/>
      <c r="G243" s="2"/>
    </row>
    <row r="244" ht="15">
      <c r="A244" s="2"/>
      <c r="B244" s="2"/>
      <c r="C244" s="2"/>
      <c r="D244" s="2"/>
      <c r="E244" s="2"/>
      <c r="F244" s="2"/>
      <c r="G244" s="2"/>
    </row>
    <row r="245" ht="15">
      <c r="A245" s="2"/>
      <c r="B245" s="2"/>
      <c r="C245" s="2"/>
      <c r="D245" s="2"/>
      <c r="E245" s="2"/>
      <c r="F245" s="2"/>
      <c r="G245" s="2"/>
    </row>
    <row r="246" ht="15">
      <c r="A246" s="2"/>
      <c r="B246" s="2"/>
      <c r="C246" s="2"/>
      <c r="D246" s="2"/>
      <c r="E246" s="2"/>
      <c r="F246" s="2"/>
      <c r="G246" s="2"/>
    </row>
    <row r="247" ht="15">
      <c r="A247" s="2"/>
      <c r="B247" s="2"/>
      <c r="C247" s="2"/>
      <c r="D247" s="2"/>
      <c r="E247" s="2"/>
      <c r="F247" s="2"/>
      <c r="G247" s="2"/>
    </row>
    <row r="248" ht="15">
      <c r="A248" s="2"/>
      <c r="B248" s="2"/>
      <c r="C248" s="2"/>
      <c r="D248" s="2"/>
      <c r="E248" s="2"/>
      <c r="F248" s="2"/>
      <c r="G248" s="2"/>
    </row>
    <row r="249" ht="15">
      <c r="A249" s="2"/>
      <c r="B249" s="2"/>
      <c r="C249" s="2"/>
      <c r="D249" s="2"/>
      <c r="E249" s="2"/>
      <c r="F249" s="2"/>
      <c r="G249" s="2"/>
    </row>
    <row r="250" ht="15">
      <c r="A250" s="2"/>
      <c r="B250" s="2"/>
      <c r="C250" s="2"/>
      <c r="D250" s="2"/>
      <c r="E250" s="2"/>
      <c r="F250" s="2"/>
      <c r="G250" s="2"/>
    </row>
    <row r="251" ht="15">
      <c r="A251" s="2"/>
      <c r="B251" s="2"/>
      <c r="C251" s="2"/>
      <c r="D251" s="2"/>
      <c r="E251" s="2"/>
      <c r="F251" s="2"/>
      <c r="G251" s="2"/>
    </row>
    <row r="252" ht="15">
      <c r="A252" s="2"/>
      <c r="B252" s="2"/>
      <c r="C252" s="2"/>
      <c r="D252" s="2"/>
      <c r="E252" s="2"/>
      <c r="F252" s="2"/>
      <c r="G252" s="2"/>
    </row>
    <row r="253" ht="15">
      <c r="A253" s="2"/>
      <c r="B253" s="2"/>
      <c r="C253" s="2"/>
      <c r="D253" s="2"/>
      <c r="E253" s="2"/>
      <c r="F253" s="2"/>
      <c r="G253" s="2"/>
    </row>
    <row r="254" ht="15">
      <c r="A254" s="2"/>
      <c r="B254" s="2"/>
      <c r="C254" s="2"/>
      <c r="D254" s="2"/>
      <c r="E254" s="2"/>
      <c r="F254" s="2"/>
      <c r="G254" s="2"/>
    </row>
    <row r="255" ht="15">
      <c r="A255" s="2"/>
      <c r="B255" s="2"/>
      <c r="C255" s="2"/>
      <c r="D255" s="2"/>
      <c r="E255" s="2"/>
      <c r="F255" s="2"/>
      <c r="G255" s="2"/>
    </row>
    <row r="256" ht="15">
      <c r="A256" s="2"/>
      <c r="B256" s="2"/>
      <c r="C256" s="2"/>
      <c r="D256" s="2"/>
      <c r="E256" s="2"/>
      <c r="F256" s="2"/>
      <c r="G256" s="2"/>
    </row>
    <row r="257" ht="15">
      <c r="A257" s="2"/>
      <c r="B257" s="2"/>
      <c r="C257" s="2"/>
      <c r="D257" s="2"/>
      <c r="E257" s="2"/>
      <c r="F257" s="2"/>
      <c r="G257" s="2"/>
    </row>
    <row r="258" ht="15">
      <c r="A258" s="2"/>
      <c r="B258" s="2"/>
      <c r="C258" s="2"/>
      <c r="D258" s="2"/>
      <c r="E258" s="2"/>
      <c r="F258" s="2"/>
      <c r="G258" s="2"/>
    </row>
    <row r="259" ht="15">
      <c r="A259" s="2"/>
      <c r="B259" s="2"/>
      <c r="C259" s="2"/>
      <c r="D259" s="2"/>
      <c r="E259" s="2"/>
      <c r="F259" s="2"/>
      <c r="G259" s="2"/>
    </row>
    <row r="260" ht="15">
      <c r="A260" s="2"/>
      <c r="B260" s="2"/>
      <c r="C260" s="2"/>
      <c r="D260" s="2"/>
      <c r="E260" s="2"/>
      <c r="F260" s="2"/>
      <c r="G260" s="2"/>
    </row>
    <row r="261" ht="15">
      <c r="A261" s="2"/>
      <c r="B261" s="2"/>
      <c r="C261" s="2"/>
      <c r="D261" s="2"/>
      <c r="E261" s="2"/>
      <c r="F261" s="2"/>
      <c r="G261" s="2"/>
    </row>
    <row r="262" ht="15">
      <c r="A262" s="2"/>
      <c r="B262" s="2"/>
      <c r="C262" s="2"/>
      <c r="D262" s="2"/>
      <c r="E262" s="2"/>
      <c r="F262" s="2"/>
      <c r="G262" s="2"/>
    </row>
    <row r="263" ht="15">
      <c r="A263" s="2"/>
      <c r="B263" s="2"/>
      <c r="C263" s="2"/>
      <c r="D263" s="2"/>
      <c r="E263" s="2"/>
      <c r="F263" s="2"/>
      <c r="G263" s="2"/>
    </row>
    <row r="264" ht="15">
      <c r="A264" s="2"/>
      <c r="B264" s="2"/>
      <c r="C264" s="2"/>
      <c r="D264" s="2"/>
      <c r="E264" s="2"/>
      <c r="F264" s="2"/>
      <c r="G264" s="2"/>
    </row>
    <row r="265" ht="15">
      <c r="A265" s="2"/>
      <c r="B265" s="2"/>
      <c r="C265" s="2"/>
      <c r="D265" s="2"/>
      <c r="E265" s="2"/>
      <c r="F265" s="2"/>
      <c r="G265" s="2"/>
    </row>
    <row r="266" ht="15">
      <c r="A266" s="2"/>
      <c r="B266" s="2"/>
      <c r="C266" s="2"/>
      <c r="D266" s="2"/>
      <c r="E266" s="2"/>
      <c r="F266" s="2"/>
      <c r="G266" s="2"/>
    </row>
    <row r="267" ht="15">
      <c r="A267" s="2"/>
      <c r="B267" s="2"/>
      <c r="C267" s="2"/>
      <c r="D267" s="2"/>
      <c r="E267" s="2"/>
      <c r="F267" s="2"/>
      <c r="G267" s="2"/>
    </row>
    <row r="268" ht="15">
      <c r="A268" s="2"/>
      <c r="B268" s="2"/>
      <c r="C268" s="2"/>
      <c r="D268" s="2"/>
      <c r="E268" s="2"/>
      <c r="F268" s="2"/>
      <c r="G268" s="2"/>
    </row>
    <row r="269" ht="15">
      <c r="A269" s="2"/>
      <c r="B269" s="2"/>
      <c r="C269" s="2"/>
      <c r="D269" s="2"/>
      <c r="E269" s="2"/>
      <c r="F269" s="2"/>
      <c r="G269" s="2"/>
    </row>
    <row r="270" ht="15">
      <c r="A270" s="2"/>
      <c r="B270" s="2"/>
      <c r="C270" s="2"/>
      <c r="D270" s="2"/>
      <c r="E270" s="2"/>
      <c r="F270" s="2"/>
      <c r="G270" s="2"/>
    </row>
    <row r="271" ht="15">
      <c r="A271" s="2"/>
      <c r="B271" s="2"/>
      <c r="C271" s="2"/>
      <c r="D271" s="2"/>
      <c r="E271" s="2"/>
      <c r="F271" s="2"/>
      <c r="G271" s="2"/>
    </row>
    <row r="272" ht="15">
      <c r="A272" s="2"/>
      <c r="B272" s="2"/>
      <c r="C272" s="2"/>
      <c r="D272" s="2"/>
      <c r="E272" s="2"/>
      <c r="F272" s="2"/>
      <c r="G272" s="2"/>
    </row>
    <row r="273" ht="15">
      <c r="A273" s="2"/>
      <c r="B273" s="2"/>
      <c r="C273" s="2"/>
      <c r="D273" s="2"/>
      <c r="E273" s="2"/>
      <c r="F273" s="2"/>
      <c r="G273" s="2"/>
    </row>
    <row r="274" ht="15">
      <c r="A274" s="2"/>
      <c r="B274" s="2"/>
      <c r="C274" s="2"/>
      <c r="D274" s="2"/>
      <c r="E274" s="2"/>
      <c r="F274" s="2"/>
      <c r="G274" s="2"/>
    </row>
    <row r="275" ht="15">
      <c r="A275" s="2"/>
      <c r="B275" s="2"/>
      <c r="C275" s="2"/>
      <c r="D275" s="2"/>
      <c r="E275" s="2"/>
      <c r="F275" s="2"/>
      <c r="G275" s="2"/>
    </row>
    <row r="276" ht="15">
      <c r="A276" s="2"/>
      <c r="B276" s="2"/>
      <c r="C276" s="2"/>
      <c r="D276" s="2"/>
      <c r="E276" s="2"/>
      <c r="F276" s="2"/>
      <c r="G276" s="2"/>
    </row>
    <row r="277" ht="15">
      <c r="A277" s="2"/>
      <c r="B277" s="2"/>
      <c r="C277" s="2"/>
      <c r="D277" s="2"/>
      <c r="E277" s="2"/>
      <c r="F277" s="2"/>
      <c r="G277" s="2"/>
    </row>
    <row r="278" ht="15">
      <c r="A278" s="2"/>
      <c r="B278" s="2"/>
      <c r="C278" s="2"/>
      <c r="D278" s="2"/>
      <c r="E278" s="2"/>
      <c r="F278" s="2"/>
      <c r="G278" s="2"/>
    </row>
    <row r="279" ht="15">
      <c r="A279" s="2"/>
      <c r="B279" s="2"/>
      <c r="C279" s="2"/>
      <c r="D279" s="2"/>
      <c r="E279" s="2"/>
      <c r="F279" s="2"/>
      <c r="G279" s="2"/>
    </row>
    <row r="280" ht="15">
      <c r="A280" s="2"/>
      <c r="B280" s="2"/>
      <c r="C280" s="2"/>
      <c r="D280" s="2"/>
      <c r="E280" s="2"/>
      <c r="F280" s="2"/>
      <c r="G280" s="2"/>
    </row>
    <row r="281" ht="15">
      <c r="A281" s="2"/>
      <c r="B281" s="2"/>
      <c r="C281" s="2"/>
      <c r="D281" s="2"/>
      <c r="E281" s="2"/>
      <c r="F281" s="2"/>
      <c r="G281" s="2"/>
    </row>
    <row r="282" ht="15">
      <c r="A282" s="2"/>
      <c r="B282" s="2"/>
      <c r="C282" s="2"/>
      <c r="D282" s="2"/>
      <c r="E282" s="2"/>
      <c r="F282" s="2"/>
      <c r="G282" s="2"/>
    </row>
    <row r="283" ht="15">
      <c r="A283" s="2"/>
      <c r="B283" s="2"/>
      <c r="C283" s="2"/>
      <c r="D283" s="2"/>
      <c r="E283" s="2"/>
      <c r="F283" s="2"/>
      <c r="G283" s="2"/>
    </row>
    <row r="284" ht="15">
      <c r="A284" s="2"/>
      <c r="B284" s="2"/>
      <c r="C284" s="2"/>
      <c r="D284" s="2"/>
      <c r="E284" s="2"/>
      <c r="F284" s="2"/>
      <c r="G284" s="2"/>
    </row>
    <row r="285" ht="15">
      <c r="A285" s="2"/>
      <c r="B285" s="2"/>
      <c r="C285" s="2"/>
      <c r="D285" s="2"/>
      <c r="E285" s="2"/>
      <c r="F285" s="2"/>
      <c r="G285" s="2"/>
    </row>
    <row r="286" ht="15">
      <c r="A286" s="2"/>
      <c r="B286" s="2"/>
      <c r="C286" s="2"/>
      <c r="D286" s="2"/>
      <c r="E286" s="2"/>
      <c r="F286" s="2"/>
      <c r="G286" s="2"/>
    </row>
    <row r="287" ht="15">
      <c r="A287" s="2"/>
      <c r="B287" s="2"/>
      <c r="C287" s="2"/>
      <c r="D287" s="2"/>
      <c r="E287" s="2"/>
      <c r="F287" s="2"/>
      <c r="G287" s="2"/>
    </row>
    <row r="288" ht="15">
      <c r="A288" s="2"/>
      <c r="B288" s="2"/>
      <c r="C288" s="2"/>
      <c r="D288" s="2"/>
      <c r="E288" s="2"/>
      <c r="F288" s="2"/>
      <c r="G288" s="2"/>
    </row>
    <row r="289" ht="15">
      <c r="A289" s="2"/>
      <c r="B289" s="2"/>
      <c r="C289" s="2"/>
      <c r="D289" s="2"/>
      <c r="E289" s="2"/>
      <c r="F289" s="2"/>
      <c r="G289" s="2"/>
    </row>
    <row r="290" ht="15">
      <c r="A290" s="2"/>
      <c r="B290" s="2"/>
      <c r="C290" s="2"/>
      <c r="D290" s="2"/>
      <c r="E290" s="2"/>
      <c r="F290" s="2"/>
      <c r="G290" s="2"/>
    </row>
    <row r="291" ht="15">
      <c r="A291" s="2"/>
      <c r="B291" s="2"/>
      <c r="C291" s="2"/>
      <c r="D291" s="2"/>
      <c r="E291" s="2"/>
      <c r="F291" s="2"/>
      <c r="G291" s="2"/>
    </row>
    <row r="292" ht="15">
      <c r="A292" s="2"/>
      <c r="B292" s="2"/>
      <c r="C292" s="2"/>
      <c r="D292" s="2"/>
      <c r="E292" s="2"/>
      <c r="F292" s="2"/>
      <c r="G292" s="2"/>
    </row>
    <row r="293" ht="15">
      <c r="A293" s="2"/>
      <c r="B293" s="2"/>
      <c r="C293" s="2"/>
      <c r="D293" s="2"/>
      <c r="E293" s="2"/>
      <c r="F293" s="2"/>
      <c r="G293" s="2"/>
    </row>
    <row r="294" ht="15">
      <c r="A294" s="2"/>
      <c r="B294" s="2"/>
      <c r="C294" s="2"/>
      <c r="D294" s="2"/>
      <c r="E294" s="2"/>
      <c r="F294" s="2"/>
      <c r="G294" s="2"/>
    </row>
    <row r="295" ht="15">
      <c r="A295" s="2"/>
      <c r="B295" s="2"/>
      <c r="C295" s="2"/>
      <c r="D295" s="2"/>
      <c r="E295" s="2"/>
      <c r="F295" s="2"/>
      <c r="G295" s="2"/>
    </row>
    <row r="296" ht="15">
      <c r="A296" s="2"/>
      <c r="B296" s="2"/>
      <c r="C296" s="2"/>
      <c r="D296" s="2"/>
      <c r="E296" s="2"/>
      <c r="F296" s="2"/>
      <c r="G296" s="2"/>
    </row>
    <row r="297" ht="15">
      <c r="A297" s="2"/>
      <c r="B297" s="2"/>
      <c r="C297" s="2"/>
      <c r="D297" s="2"/>
      <c r="E297" s="2"/>
      <c r="F297" s="2"/>
      <c r="G297" s="2"/>
    </row>
    <row r="298" ht="15">
      <c r="A298" s="2"/>
      <c r="B298" s="2"/>
      <c r="C298" s="2"/>
      <c r="D298" s="2"/>
      <c r="E298" s="2"/>
      <c r="F298" s="2"/>
      <c r="G298" s="2"/>
    </row>
    <row r="299" ht="15">
      <c r="A299" s="2"/>
      <c r="B299" s="2"/>
      <c r="C299" s="2"/>
      <c r="D299" s="2"/>
      <c r="E299" s="2"/>
      <c r="F299" s="2"/>
      <c r="G299" s="2"/>
    </row>
    <row r="300" ht="15">
      <c r="A300" s="2"/>
      <c r="B300" s="2"/>
      <c r="C300" s="2"/>
      <c r="D300" s="2"/>
      <c r="E300" s="2"/>
      <c r="F300" s="2"/>
      <c r="G300" s="2"/>
    </row>
    <row r="301" ht="15">
      <c r="A301" s="2"/>
      <c r="B301" s="2"/>
      <c r="C301" s="2"/>
      <c r="D301" s="2"/>
      <c r="E301" s="2"/>
      <c r="F301" s="2"/>
      <c r="G301" s="2"/>
    </row>
    <row r="302" ht="15">
      <c r="A302" s="2"/>
      <c r="B302" s="2"/>
      <c r="C302" s="2"/>
      <c r="D302" s="2"/>
      <c r="E302" s="2"/>
      <c r="F302" s="2"/>
      <c r="G302" s="2"/>
    </row>
    <row r="303" ht="15">
      <c r="A303" s="2"/>
      <c r="B303" s="2"/>
      <c r="C303" s="2"/>
      <c r="D303" s="2"/>
      <c r="E303" s="2"/>
      <c r="F303" s="2"/>
      <c r="G303" s="2"/>
    </row>
    <row r="304" ht="15">
      <c r="A304" s="2"/>
      <c r="B304" s="2"/>
      <c r="C304" s="2"/>
      <c r="D304" s="2"/>
      <c r="E304" s="2"/>
      <c r="F304" s="2"/>
      <c r="G304" s="2"/>
    </row>
    <row r="305" ht="15">
      <c r="A305" s="2"/>
      <c r="B305" s="2"/>
      <c r="C305" s="2"/>
      <c r="D305" s="2"/>
      <c r="E305" s="2"/>
      <c r="F305" s="2"/>
      <c r="G305" s="2"/>
    </row>
    <row r="306" ht="15">
      <c r="A306" s="2"/>
      <c r="B306" s="2"/>
      <c r="C306" s="2"/>
      <c r="D306" s="2"/>
      <c r="E306" s="2"/>
      <c r="F306" s="2"/>
      <c r="G306" s="2"/>
    </row>
    <row r="307" ht="15">
      <c r="A307" s="2"/>
      <c r="B307" s="2"/>
      <c r="C307" s="2"/>
      <c r="D307" s="2"/>
      <c r="E307" s="2"/>
      <c r="F307" s="2"/>
      <c r="G307" s="2"/>
    </row>
    <row r="308" ht="15">
      <c r="A308" s="2"/>
      <c r="B308" s="2"/>
      <c r="C308" s="2"/>
      <c r="D308" s="2"/>
      <c r="E308" s="2"/>
      <c r="F308" s="2"/>
      <c r="G308" s="2"/>
    </row>
    <row r="309" ht="15">
      <c r="A309" s="2"/>
      <c r="B309" s="2"/>
      <c r="C309" s="2"/>
      <c r="D309" s="2"/>
      <c r="E309" s="2"/>
      <c r="F309" s="2"/>
      <c r="G309" s="2"/>
    </row>
    <row r="310" ht="15">
      <c r="A310" s="2"/>
      <c r="B310" s="2"/>
      <c r="C310" s="2"/>
      <c r="D310" s="2"/>
      <c r="E310" s="2"/>
      <c r="F310" s="2"/>
      <c r="G310" s="2"/>
    </row>
    <row r="311" ht="15">
      <c r="A311" s="2"/>
      <c r="B311" s="2"/>
      <c r="C311" s="2"/>
      <c r="D311" s="2"/>
      <c r="E311" s="2"/>
      <c r="F311" s="2"/>
      <c r="G311" s="2"/>
    </row>
    <row r="312" ht="15">
      <c r="A312" s="2"/>
      <c r="B312" s="2"/>
      <c r="C312" s="2"/>
      <c r="D312" s="2"/>
      <c r="E312" s="2"/>
      <c r="F312" s="2"/>
      <c r="G312" s="2"/>
    </row>
    <row r="313" ht="15">
      <c r="A313" s="2"/>
      <c r="B313" s="2"/>
      <c r="C313" s="2"/>
      <c r="D313" s="2"/>
      <c r="E313" s="2"/>
      <c r="F313" s="2"/>
      <c r="G313" s="2"/>
    </row>
    <row r="314" ht="15">
      <c r="A314" s="2"/>
      <c r="B314" s="2"/>
      <c r="C314" s="2"/>
      <c r="D314" s="2"/>
      <c r="E314" s="2"/>
      <c r="F314" s="2"/>
      <c r="G314" s="2"/>
    </row>
    <row r="315" ht="15">
      <c r="A315" s="2"/>
      <c r="B315" s="2"/>
      <c r="C315" s="2"/>
      <c r="D315" s="2"/>
      <c r="E315" s="2"/>
      <c r="F315" s="2"/>
      <c r="G315" s="2"/>
    </row>
    <row r="316" ht="15">
      <c r="A316" s="2"/>
      <c r="B316" s="2"/>
      <c r="C316" s="2"/>
      <c r="D316" s="2"/>
      <c r="E316" s="2"/>
      <c r="F316" s="2"/>
      <c r="G316" s="2"/>
    </row>
    <row r="317" ht="15">
      <c r="A317" s="2"/>
      <c r="B317" s="2"/>
      <c r="C317" s="2"/>
      <c r="D317" s="2"/>
      <c r="E317" s="2"/>
      <c r="F317" s="2"/>
      <c r="G317" s="2"/>
    </row>
    <row r="318" ht="15">
      <c r="A318" s="2"/>
      <c r="B318" s="2"/>
      <c r="C318" s="2"/>
      <c r="D318" s="2"/>
      <c r="E318" s="2"/>
      <c r="F318" s="2"/>
      <c r="G318" s="2"/>
    </row>
    <row r="319" ht="15">
      <c r="A319" s="2"/>
      <c r="B319" s="2"/>
      <c r="C319" s="2"/>
      <c r="D319" s="2"/>
      <c r="E319" s="2"/>
      <c r="F319" s="2"/>
      <c r="G319" s="2"/>
    </row>
    <row r="320" ht="15">
      <c r="A320" s="2"/>
      <c r="B320" s="2"/>
      <c r="C320" s="2"/>
      <c r="D320" s="2"/>
      <c r="E320" s="2"/>
      <c r="F320" s="2"/>
      <c r="G320" s="2"/>
    </row>
    <row r="321" ht="15">
      <c r="A321" s="2"/>
      <c r="B321" s="2"/>
      <c r="C321" s="2"/>
      <c r="D321" s="2"/>
      <c r="E321" s="2"/>
      <c r="F321" s="2"/>
      <c r="G321" s="2"/>
    </row>
    <row r="322" ht="15">
      <c r="A322" s="2"/>
      <c r="B322" s="2"/>
      <c r="C322" s="2"/>
      <c r="D322" s="2"/>
      <c r="E322" s="2"/>
      <c r="F322" s="2"/>
      <c r="G322" s="2"/>
    </row>
    <row r="323" ht="15">
      <c r="A323" s="2"/>
      <c r="B323" s="2"/>
      <c r="C323" s="2"/>
      <c r="D323" s="2"/>
      <c r="E323" s="2"/>
      <c r="F323" s="2"/>
      <c r="G323" s="2"/>
    </row>
    <row r="324" ht="15">
      <c r="A324" s="2"/>
      <c r="B324" s="2"/>
      <c r="C324" s="2"/>
      <c r="D324" s="2"/>
      <c r="E324" s="2"/>
      <c r="F324" s="2"/>
      <c r="G324" s="2"/>
    </row>
    <row r="325" ht="15">
      <c r="A325" s="2"/>
      <c r="B325" s="2"/>
      <c r="C325" s="2"/>
      <c r="D325" s="2"/>
      <c r="E325" s="2"/>
      <c r="F325" s="2"/>
      <c r="G325" s="2"/>
    </row>
    <row r="326" ht="15">
      <c r="A326" s="2"/>
      <c r="B326" s="2"/>
      <c r="C326" s="2"/>
      <c r="D326" s="2"/>
      <c r="E326" s="2"/>
      <c r="F326" s="2"/>
      <c r="G326" s="2"/>
    </row>
    <row r="327" ht="15">
      <c r="A327" s="2"/>
      <c r="B327" s="2"/>
      <c r="C327" s="2"/>
      <c r="D327" s="2"/>
      <c r="E327" s="2"/>
      <c r="F327" s="2"/>
      <c r="G327" s="2"/>
    </row>
    <row r="328" ht="15">
      <c r="A328" s="2"/>
      <c r="B328" s="2"/>
      <c r="C328" s="2"/>
      <c r="D328" s="2"/>
      <c r="E328" s="2"/>
      <c r="F328" s="2"/>
      <c r="G328" s="2"/>
    </row>
    <row r="329" ht="15">
      <c r="A329" s="2"/>
      <c r="B329" s="2"/>
      <c r="C329" s="2"/>
      <c r="D329" s="2"/>
      <c r="E329" s="2"/>
      <c r="F329" s="2"/>
      <c r="G329" s="2"/>
    </row>
    <row r="330" ht="15">
      <c r="A330" s="2"/>
      <c r="B330" s="2"/>
      <c r="C330" s="2"/>
      <c r="D330" s="2"/>
      <c r="E330" s="2"/>
      <c r="F330" s="2"/>
      <c r="G330" s="2"/>
    </row>
    <row r="331" ht="15">
      <c r="A331" s="2"/>
      <c r="B331" s="2"/>
      <c r="C331" s="2"/>
      <c r="D331" s="2"/>
      <c r="E331" s="2"/>
      <c r="F331" s="2"/>
      <c r="G331" s="2"/>
    </row>
    <row r="332" ht="15">
      <c r="A332" s="2"/>
      <c r="B332" s="2"/>
      <c r="C332" s="2"/>
      <c r="D332" s="2"/>
      <c r="E332" s="2"/>
      <c r="F332" s="2"/>
      <c r="G332" s="2"/>
    </row>
    <row r="333" ht="15">
      <c r="A333" s="2"/>
      <c r="B333" s="2"/>
      <c r="C333" s="2"/>
      <c r="D333" s="2"/>
      <c r="E333" s="2"/>
      <c r="F333" s="2"/>
      <c r="G333" s="2"/>
    </row>
    <row r="334" ht="15">
      <c r="A334" s="2"/>
      <c r="B334" s="2"/>
      <c r="C334" s="2"/>
      <c r="D334" s="2"/>
      <c r="E334" s="2"/>
      <c r="F334" s="2"/>
      <c r="G334" s="2"/>
    </row>
  </sheetData>
  <mergeCells count="5">
    <mergeCell ref="A2:G2"/>
    <mergeCell ref="A3:G3"/>
    <mergeCell ref="A4:G4"/>
    <mergeCell ref="A5:G5"/>
    <mergeCell ref="A6:G6"/>
  </mergeCells>
  <printOptions headings="0" gridLines="0"/>
  <pageMargins left="0.25" right="0.25" top="0.75" bottom="0.75" header="0.29999999999999999" footer="0.29999999999999999"/>
  <pageSetup paperSize="9" scale="64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5" workbookViewId="0">
      <selection activeCell="A1" activeCellId="0" sqref="A1:E1"/>
    </sheetView>
  </sheetViews>
  <sheetFormatPr defaultRowHeight="14.25"/>
  <cols>
    <col customWidth="1" min="1" max="1" style="26" width="6.5703125"/>
    <col customWidth="1" min="2" max="2" style="26" width="65.42578125"/>
    <col customWidth="1" min="3" max="3" style="26" width="17.28515625"/>
    <col customWidth="1" min="4" max="5" style="26" width="18.140625"/>
    <col customWidth="1" min="6" max="7" width="18.140625"/>
  </cols>
  <sheetData>
    <row r="1" ht="27" customHeight="1">
      <c r="A1" s="5" t="s">
        <v>33</v>
      </c>
      <c r="B1" s="5"/>
      <c r="C1" s="5"/>
      <c r="D1" s="5"/>
      <c r="E1" s="5"/>
    </row>
    <row r="2">
      <c r="A2" s="5" t="s">
        <v>1</v>
      </c>
      <c r="B2" s="5"/>
      <c r="C2" s="5"/>
      <c r="D2" s="5"/>
      <c r="E2" s="5"/>
    </row>
    <row r="3" ht="14.449999999999999" customHeight="1">
      <c r="A3" s="5" t="s">
        <v>38</v>
      </c>
      <c r="B3" s="5"/>
      <c r="C3" s="5"/>
      <c r="D3" s="5"/>
      <c r="E3" s="5"/>
    </row>
    <row r="4" ht="15">
      <c r="A4" s="4"/>
      <c r="B4" s="4"/>
      <c r="C4" s="4"/>
      <c r="D4" s="4"/>
      <c r="E4" s="4"/>
    </row>
    <row r="5" ht="15">
      <c r="A5" s="3"/>
      <c r="B5" s="3"/>
      <c r="C5" s="3"/>
      <c r="D5" s="3"/>
      <c r="E5" s="3"/>
    </row>
    <row r="6" ht="45" customHeight="1">
      <c r="A6" s="6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="27" customFormat="1" ht="34.149999999999999" customHeight="1">
      <c r="A7" s="10" t="s">
        <v>10</v>
      </c>
      <c r="B7" s="11" t="s">
        <v>35</v>
      </c>
      <c r="C7" s="10"/>
      <c r="D7" s="12">
        <f>SUM(D8:D18)+D24+D25+D26</f>
        <v>37.160000000000004</v>
      </c>
      <c r="E7" s="12">
        <f>SUM(E8:E18)+E24+E25+E26</f>
        <v>47.133739393590112</v>
      </c>
      <c r="F7" s="12">
        <f t="shared" ref="F7:F26" si="4">E7-D7</f>
        <v>9.9737393935901082</v>
      </c>
      <c r="G7" s="12">
        <f t="shared" ref="G7:G26" si="5">E7/D7*100-100</f>
        <v>26.839987603848513</v>
      </c>
    </row>
    <row r="8" s="28" customFormat="1" ht="34.899999999999999" customHeight="1">
      <c r="A8" s="29">
        <v>1</v>
      </c>
      <c r="B8" s="30" t="s">
        <v>12</v>
      </c>
      <c r="C8" s="15" t="s">
        <v>13</v>
      </c>
      <c r="D8" s="16">
        <v>5.7199999999999998</v>
      </c>
      <c r="E8" s="16">
        <f>Разъяснения!P11</f>
        <v>7.8777971943266287</v>
      </c>
      <c r="F8" s="16">
        <f t="shared" si="4"/>
        <v>2.157797194326629</v>
      </c>
      <c r="G8" s="16">
        <f t="shared" si="5"/>
        <v>37.723727173542471</v>
      </c>
    </row>
    <row r="9" s="28" customFormat="1" ht="34.899999999999999" customHeight="1">
      <c r="A9" s="29">
        <v>2</v>
      </c>
      <c r="B9" s="31" t="s">
        <v>14</v>
      </c>
      <c r="C9" s="15" t="s">
        <v>13</v>
      </c>
      <c r="D9" s="17">
        <v>6.3300000000000001</v>
      </c>
      <c r="E9" s="17">
        <v>6.3300000000000001</v>
      </c>
      <c r="F9" s="17">
        <f t="shared" si="4"/>
        <v>0</v>
      </c>
      <c r="G9" s="17">
        <f t="shared" si="5"/>
        <v>0</v>
      </c>
    </row>
    <row r="10" s="28" customFormat="1" ht="34.899999999999999" customHeight="1">
      <c r="A10" s="29">
        <v>3</v>
      </c>
      <c r="B10" s="32" t="s">
        <v>36</v>
      </c>
      <c r="C10" s="15" t="s">
        <v>13</v>
      </c>
      <c r="D10" s="16">
        <v>1.6699999999999999</v>
      </c>
      <c r="E10" s="16">
        <v>1.74</v>
      </c>
      <c r="F10" s="16">
        <f t="shared" si="4"/>
        <v>0.070000000000000062</v>
      </c>
      <c r="G10" s="16">
        <f t="shared" si="5"/>
        <v>4.1916167664670638</v>
      </c>
    </row>
    <row r="11" s="28" customFormat="1" ht="34.899999999999999" customHeight="1">
      <c r="A11" s="29">
        <v>4</v>
      </c>
      <c r="B11" s="32" t="s">
        <v>16</v>
      </c>
      <c r="C11" s="15" t="s">
        <v>13</v>
      </c>
      <c r="D11" s="16">
        <v>2.1699999999999999</v>
      </c>
      <c r="E11" s="16">
        <f>Разъяснения!P18</f>
        <v>3.4933943651437445</v>
      </c>
      <c r="F11" s="16">
        <f t="shared" si="4"/>
        <v>1.3233943651437445</v>
      </c>
      <c r="G11" s="16">
        <f t="shared" si="5"/>
        <v>60.9859154444122</v>
      </c>
    </row>
    <row r="12" s="28" customFormat="1" ht="34.899999999999999" customHeight="1">
      <c r="A12" s="29">
        <v>5</v>
      </c>
      <c r="B12" s="30" t="s">
        <v>17</v>
      </c>
      <c r="C12" s="15" t="s">
        <v>13</v>
      </c>
      <c r="D12" s="16">
        <v>3.2999999999999998</v>
      </c>
      <c r="E12" s="16">
        <f>Разъяснения!P27</f>
        <v>5.3772712437712915</v>
      </c>
      <c r="F12" s="16">
        <f t="shared" si="4"/>
        <v>2.0772712437712917</v>
      </c>
      <c r="G12" s="16">
        <f t="shared" si="5"/>
        <v>62.947613447614913</v>
      </c>
    </row>
    <row r="13" s="28" customFormat="1" ht="34.899999999999999" customHeight="1">
      <c r="A13" s="29">
        <v>6</v>
      </c>
      <c r="B13" s="30" t="s">
        <v>18</v>
      </c>
      <c r="C13" s="15" t="s">
        <v>13</v>
      </c>
      <c r="D13" s="17">
        <v>0.67000000000000004</v>
      </c>
      <c r="E13" s="17">
        <v>0.67000000000000004</v>
      </c>
      <c r="F13" s="17">
        <f t="shared" si="4"/>
        <v>0</v>
      </c>
      <c r="G13" s="17">
        <f t="shared" si="5"/>
        <v>0</v>
      </c>
    </row>
    <row r="14" s="28" customFormat="1" ht="34.899999999999999" customHeight="1">
      <c r="A14" s="29">
        <v>7</v>
      </c>
      <c r="B14" s="30" t="s">
        <v>19</v>
      </c>
      <c r="C14" s="15" t="s">
        <v>13</v>
      </c>
      <c r="D14" s="17">
        <v>0.29999999999999999</v>
      </c>
      <c r="E14" s="17">
        <v>0.29999999999999999</v>
      </c>
      <c r="F14" s="17">
        <f t="shared" si="4"/>
        <v>0</v>
      </c>
      <c r="G14" s="17">
        <f t="shared" si="5"/>
        <v>0</v>
      </c>
    </row>
    <row r="15" s="28" customFormat="1" ht="34.899999999999999" customHeight="1">
      <c r="A15" s="29">
        <v>8</v>
      </c>
      <c r="B15" s="30" t="s">
        <v>20</v>
      </c>
      <c r="C15" s="15" t="s">
        <v>13</v>
      </c>
      <c r="D15" s="17">
        <v>0.34000000000000002</v>
      </c>
      <c r="E15" s="17">
        <v>0.34000000000000002</v>
      </c>
      <c r="F15" s="17">
        <f t="shared" si="4"/>
        <v>0</v>
      </c>
      <c r="G15" s="17">
        <f t="shared" si="5"/>
        <v>0</v>
      </c>
    </row>
    <row r="16" s="28" customFormat="1" ht="34.899999999999999" customHeight="1">
      <c r="A16" s="29">
        <v>9</v>
      </c>
      <c r="B16" s="30" t="s">
        <v>21</v>
      </c>
      <c r="C16" s="15" t="s">
        <v>13</v>
      </c>
      <c r="D16" s="17">
        <v>0.54000000000000004</v>
      </c>
      <c r="E16" s="17">
        <v>0.54000000000000004</v>
      </c>
      <c r="F16" s="17">
        <f t="shared" si="4"/>
        <v>0</v>
      </c>
      <c r="G16" s="17">
        <f t="shared" si="5"/>
        <v>0</v>
      </c>
    </row>
    <row r="17" s="28" customFormat="1" ht="34.899999999999999" customHeight="1">
      <c r="A17" s="15">
        <v>10</v>
      </c>
      <c r="B17" s="33" t="s">
        <v>37</v>
      </c>
      <c r="C17" s="15" t="s">
        <v>13</v>
      </c>
      <c r="D17" s="16">
        <v>2.52</v>
      </c>
      <c r="E17" s="16">
        <f>Лифты_формула!E55</f>
        <v>4.4139487532185653</v>
      </c>
      <c r="F17" s="16">
        <f t="shared" si="4"/>
        <v>1.8939487532185653</v>
      </c>
      <c r="G17" s="16">
        <f t="shared" si="5"/>
        <v>75.156696556292275</v>
      </c>
    </row>
    <row r="18" s="28" customFormat="1" ht="34.899999999999999" customHeight="1">
      <c r="A18" s="29">
        <v>11</v>
      </c>
      <c r="B18" s="34" t="s">
        <v>24</v>
      </c>
      <c r="C18" s="15" t="s">
        <v>13</v>
      </c>
      <c r="D18" s="17">
        <f>SUM(D19:D23)</f>
        <v>9.0499999999999989</v>
      </c>
      <c r="E18" s="17">
        <f>SUM(E19:E23)</f>
        <v>9.0499999999999989</v>
      </c>
      <c r="F18" s="17">
        <f t="shared" si="4"/>
        <v>0</v>
      </c>
      <c r="G18" s="17">
        <f t="shared" si="5"/>
        <v>0</v>
      </c>
    </row>
    <row r="19" s="35" customFormat="1" ht="34.899999999999999" customHeight="1">
      <c r="A19" s="21"/>
      <c r="B19" s="36" t="s">
        <v>25</v>
      </c>
      <c r="C19" s="23" t="s">
        <v>13</v>
      </c>
      <c r="D19" s="24">
        <v>3</v>
      </c>
      <c r="E19" s="24">
        <v>3</v>
      </c>
      <c r="F19" s="24">
        <f t="shared" si="4"/>
        <v>0</v>
      </c>
      <c r="G19" s="24">
        <f t="shared" si="5"/>
        <v>0</v>
      </c>
    </row>
    <row r="20" s="35" customFormat="1" ht="34.899999999999999" customHeight="1">
      <c r="A20" s="21"/>
      <c r="B20" s="37" t="s">
        <v>26</v>
      </c>
      <c r="C20" s="23" t="s">
        <v>13</v>
      </c>
      <c r="D20" s="24">
        <v>5.5999999999999996</v>
      </c>
      <c r="E20" s="24">
        <v>5.5999999999999996</v>
      </c>
      <c r="F20" s="24">
        <f t="shared" si="4"/>
        <v>0</v>
      </c>
      <c r="G20" s="24">
        <f t="shared" si="5"/>
        <v>0</v>
      </c>
    </row>
    <row r="21" s="35" customFormat="1" ht="34.899999999999999" customHeight="1">
      <c r="A21" s="21"/>
      <c r="B21" s="22" t="s">
        <v>27</v>
      </c>
      <c r="C21" s="23" t="s">
        <v>13</v>
      </c>
      <c r="D21" s="24">
        <v>0.19</v>
      </c>
      <c r="E21" s="24">
        <v>0.19</v>
      </c>
      <c r="F21" s="24">
        <f t="shared" si="4"/>
        <v>0</v>
      </c>
      <c r="G21" s="24">
        <f t="shared" si="5"/>
        <v>0</v>
      </c>
    </row>
    <row r="22" s="35" customFormat="1" ht="34.899999999999999" customHeight="1">
      <c r="A22" s="21"/>
      <c r="B22" s="22" t="s">
        <v>28</v>
      </c>
      <c r="C22" s="23" t="s">
        <v>13</v>
      </c>
      <c r="D22" s="24">
        <v>0.089999999999999997</v>
      </c>
      <c r="E22" s="24">
        <v>0.089999999999999997</v>
      </c>
      <c r="F22" s="24">
        <f t="shared" si="4"/>
        <v>0</v>
      </c>
      <c r="G22" s="24">
        <f t="shared" si="5"/>
        <v>0</v>
      </c>
    </row>
    <row r="23" s="35" customFormat="1" ht="34.899999999999999" customHeight="1">
      <c r="A23" s="21"/>
      <c r="B23" s="37" t="s">
        <v>29</v>
      </c>
      <c r="C23" s="23" t="s">
        <v>13</v>
      </c>
      <c r="D23" s="24">
        <v>0.17000000000000001</v>
      </c>
      <c r="E23" s="24">
        <v>0.17000000000000001</v>
      </c>
      <c r="F23" s="24">
        <f t="shared" si="4"/>
        <v>0</v>
      </c>
      <c r="G23" s="24">
        <f t="shared" si="5"/>
        <v>0</v>
      </c>
    </row>
    <row r="24" s="28" customFormat="1" ht="34.899999999999999" customHeight="1">
      <c r="A24" s="15">
        <v>12</v>
      </c>
      <c r="B24" s="14" t="s">
        <v>30</v>
      </c>
      <c r="C24" s="15" t="s">
        <v>13</v>
      </c>
      <c r="D24" s="16">
        <v>3.9500000000000002</v>
      </c>
      <c r="E24" s="16">
        <f>Разъяснения!P16</f>
        <v>6.4013278371298776</v>
      </c>
      <c r="F24" s="16">
        <f t="shared" si="4"/>
        <v>2.4513278371298775</v>
      </c>
      <c r="G24" s="16">
        <f t="shared" si="5"/>
        <v>62.058932585566509</v>
      </c>
    </row>
    <row r="25" s="28" customFormat="1" ht="34.899999999999999" customHeight="1">
      <c r="A25" s="29">
        <v>13</v>
      </c>
      <c r="B25" s="33" t="s">
        <v>31</v>
      </c>
      <c r="C25" s="15" t="s">
        <v>13</v>
      </c>
      <c r="D25" s="17">
        <v>0.40000000000000002</v>
      </c>
      <c r="E25" s="17">
        <v>0.40000000000000002</v>
      </c>
      <c r="F25" s="17">
        <f t="shared" si="4"/>
        <v>0</v>
      </c>
      <c r="G25" s="17">
        <f t="shared" si="5"/>
        <v>0</v>
      </c>
    </row>
    <row r="26" s="28" customFormat="1" ht="34.899999999999999" customHeight="1">
      <c r="A26" s="15">
        <v>14</v>
      </c>
      <c r="B26" s="38" t="s">
        <v>32</v>
      </c>
      <c r="C26" s="15" t="s">
        <v>13</v>
      </c>
      <c r="D26" s="17">
        <v>0.20000000000000001</v>
      </c>
      <c r="E26" s="17">
        <v>0.20000000000000001</v>
      </c>
      <c r="F26" s="17">
        <f t="shared" si="4"/>
        <v>0</v>
      </c>
      <c r="G26" s="17">
        <f t="shared" si="5"/>
        <v>0</v>
      </c>
    </row>
    <row r="27" ht="15">
      <c r="A27" s="25"/>
      <c r="B27" s="25"/>
      <c r="C27" s="25"/>
      <c r="D27" s="25"/>
      <c r="E27" s="25"/>
    </row>
    <row r="28" ht="15">
      <c r="A28" s="25"/>
      <c r="B28" s="25"/>
      <c r="C28" s="25"/>
      <c r="D28" s="25"/>
      <c r="E28" s="25"/>
    </row>
    <row r="29" ht="15">
      <c r="A29" s="25"/>
      <c r="B29" s="25"/>
      <c r="C29" s="25"/>
      <c r="D29" s="25"/>
      <c r="E29" s="25"/>
    </row>
    <row r="30" ht="15">
      <c r="A30" s="25"/>
      <c r="B30" s="25"/>
      <c r="C30" s="25"/>
      <c r="D30" s="25"/>
      <c r="E30" s="25"/>
    </row>
    <row r="31" ht="15">
      <c r="A31" s="25"/>
      <c r="B31" s="25"/>
      <c r="C31" s="25"/>
      <c r="D31" s="25"/>
      <c r="E31" s="25"/>
    </row>
    <row r="32" ht="15">
      <c r="A32" s="25"/>
      <c r="B32" s="25"/>
      <c r="C32" s="25"/>
      <c r="D32" s="25"/>
      <c r="E32" s="25"/>
    </row>
    <row r="33" ht="15">
      <c r="A33" s="25"/>
      <c r="B33" s="25"/>
      <c r="C33" s="25"/>
      <c r="D33" s="25"/>
      <c r="E33" s="25"/>
    </row>
    <row r="34" ht="15">
      <c r="A34" s="25"/>
      <c r="B34" s="25"/>
      <c r="C34" s="25"/>
      <c r="D34" s="25"/>
      <c r="E34" s="25"/>
    </row>
    <row r="35" ht="15">
      <c r="A35" s="25"/>
      <c r="B35" s="25"/>
      <c r="C35" s="25"/>
      <c r="D35" s="25"/>
      <c r="E35" s="25"/>
    </row>
    <row r="36" ht="15">
      <c r="A36" s="25"/>
      <c r="B36" s="25"/>
      <c r="C36" s="25"/>
      <c r="D36" s="25"/>
      <c r="E36" s="25"/>
    </row>
    <row r="37" ht="15">
      <c r="A37" s="25"/>
      <c r="B37" s="25"/>
      <c r="C37" s="25"/>
      <c r="D37" s="25"/>
      <c r="E37" s="25"/>
    </row>
    <row r="38" ht="15">
      <c r="A38" s="25"/>
      <c r="B38" s="25"/>
      <c r="C38" s="25"/>
      <c r="D38" s="25"/>
      <c r="E38" s="25"/>
    </row>
    <row r="39" ht="15">
      <c r="A39" s="25"/>
      <c r="B39" s="25"/>
      <c r="C39" s="25"/>
      <c r="D39" s="25"/>
      <c r="E39" s="25"/>
    </row>
    <row r="40" ht="15">
      <c r="A40" s="25"/>
      <c r="B40" s="25"/>
      <c r="C40" s="25"/>
      <c r="D40" s="25"/>
      <c r="E40" s="25"/>
    </row>
    <row r="41" ht="15">
      <c r="A41" s="25"/>
      <c r="B41" s="25"/>
      <c r="C41" s="25"/>
      <c r="D41" s="25"/>
      <c r="E41" s="25"/>
    </row>
    <row r="42" ht="15">
      <c r="A42" s="2"/>
      <c r="B42" s="2"/>
      <c r="C42" s="2"/>
      <c r="D42" s="2"/>
      <c r="E42" s="2"/>
    </row>
    <row r="43" ht="15">
      <c r="A43" s="2"/>
      <c r="B43" s="2"/>
      <c r="C43" s="2"/>
      <c r="D43" s="2"/>
      <c r="E43" s="2"/>
    </row>
    <row r="44" ht="15">
      <c r="A44" s="2"/>
      <c r="B44" s="2"/>
      <c r="C44" s="2"/>
      <c r="D44" s="2"/>
      <c r="E44" s="2"/>
    </row>
    <row r="45" ht="15">
      <c r="A45" s="2"/>
      <c r="B45" s="2"/>
      <c r="C45" s="2"/>
      <c r="D45" s="2"/>
      <c r="E45" s="2"/>
    </row>
    <row r="46" ht="15">
      <c r="A46" s="2"/>
      <c r="B46" s="2"/>
      <c r="C46" s="2"/>
      <c r="D46" s="2"/>
      <c r="E46" s="2"/>
    </row>
    <row r="47" ht="15">
      <c r="A47" s="2"/>
      <c r="B47" s="2"/>
      <c r="C47" s="2"/>
      <c r="D47" s="2"/>
      <c r="E47" s="2"/>
    </row>
    <row r="48" ht="15">
      <c r="A48" s="2"/>
      <c r="B48" s="2"/>
      <c r="C48" s="2"/>
      <c r="D48" s="2"/>
      <c r="E48" s="2"/>
    </row>
    <row r="49" ht="15">
      <c r="A49" s="2"/>
      <c r="B49" s="2"/>
      <c r="C49" s="2"/>
      <c r="D49" s="2"/>
      <c r="E49" s="2"/>
    </row>
    <row r="50" ht="15">
      <c r="A50" s="2"/>
      <c r="B50" s="2"/>
      <c r="C50" s="2"/>
      <c r="D50" s="2"/>
      <c r="E50" s="2"/>
    </row>
    <row r="51" ht="15">
      <c r="A51" s="2"/>
      <c r="B51" s="2"/>
      <c r="C51" s="2"/>
      <c r="D51" s="2"/>
      <c r="E51" s="2"/>
    </row>
    <row r="52" ht="15">
      <c r="A52" s="2"/>
      <c r="B52" s="2"/>
      <c r="C52" s="2"/>
      <c r="D52" s="2"/>
      <c r="E52" s="2"/>
    </row>
    <row r="53" ht="15">
      <c r="A53" s="2"/>
      <c r="B53" s="2"/>
      <c r="C53" s="2"/>
      <c r="D53" s="2"/>
      <c r="E53" s="2"/>
    </row>
    <row r="54" ht="15">
      <c r="A54" s="2"/>
      <c r="B54" s="2"/>
      <c r="C54" s="2"/>
      <c r="D54" s="2"/>
      <c r="E54" s="2"/>
    </row>
    <row r="55" ht="15">
      <c r="A55" s="2"/>
      <c r="B55" s="2"/>
      <c r="C55" s="2"/>
      <c r="D55" s="2"/>
      <c r="E55" s="2"/>
    </row>
    <row r="56" ht="15">
      <c r="A56" s="2"/>
      <c r="B56" s="2"/>
      <c r="C56" s="2"/>
      <c r="D56" s="2"/>
      <c r="E56" s="2"/>
    </row>
    <row r="57" ht="15">
      <c r="A57" s="2"/>
      <c r="B57" s="2"/>
      <c r="C57" s="2"/>
      <c r="D57" s="2"/>
      <c r="E57" s="2"/>
    </row>
    <row r="58" ht="15">
      <c r="A58" s="2"/>
      <c r="B58" s="2"/>
      <c r="C58" s="2"/>
      <c r="D58" s="2"/>
      <c r="E58" s="2"/>
    </row>
    <row r="59" ht="15">
      <c r="A59" s="2"/>
      <c r="B59" s="2"/>
      <c r="C59" s="2"/>
      <c r="D59" s="2"/>
      <c r="E59" s="2"/>
    </row>
    <row r="60" ht="15">
      <c r="A60" s="2"/>
      <c r="B60" s="2"/>
      <c r="C60" s="2"/>
      <c r="D60" s="2"/>
      <c r="E60" s="2"/>
    </row>
    <row r="61" ht="15">
      <c r="A61" s="2"/>
      <c r="B61" s="2"/>
      <c r="C61" s="2"/>
      <c r="D61" s="2"/>
      <c r="E61" s="2"/>
    </row>
    <row r="62" ht="15">
      <c r="A62" s="2"/>
      <c r="B62" s="2"/>
      <c r="C62" s="2"/>
      <c r="D62" s="2"/>
      <c r="E62" s="2"/>
    </row>
    <row r="63" ht="15">
      <c r="A63" s="2"/>
      <c r="B63" s="2"/>
      <c r="C63" s="2"/>
      <c r="D63" s="2"/>
      <c r="E63" s="2"/>
    </row>
    <row r="64" ht="15">
      <c r="A64" s="2"/>
      <c r="B64" s="2"/>
      <c r="C64" s="2"/>
      <c r="D64" s="2"/>
      <c r="E64" s="2"/>
    </row>
    <row r="65" ht="15">
      <c r="A65" s="2"/>
      <c r="B65" s="2"/>
      <c r="C65" s="2"/>
      <c r="D65" s="2"/>
      <c r="E65" s="2"/>
    </row>
    <row r="66" ht="15">
      <c r="A66" s="2"/>
      <c r="B66" s="2"/>
      <c r="C66" s="2"/>
      <c r="D66" s="2"/>
      <c r="E66" s="2"/>
    </row>
    <row r="67" ht="15">
      <c r="A67" s="2"/>
      <c r="B67" s="2"/>
      <c r="C67" s="2"/>
      <c r="D67" s="2"/>
      <c r="E67" s="2"/>
    </row>
    <row r="68" ht="15">
      <c r="A68" s="2"/>
      <c r="B68" s="2"/>
      <c r="C68" s="2"/>
      <c r="D68" s="2"/>
      <c r="E68" s="2"/>
    </row>
    <row r="69" ht="15">
      <c r="A69" s="2"/>
      <c r="B69" s="2"/>
      <c r="C69" s="2"/>
      <c r="D69" s="2"/>
      <c r="E69" s="2"/>
    </row>
    <row r="70" ht="15">
      <c r="A70" s="2"/>
      <c r="B70" s="2"/>
      <c r="C70" s="2"/>
      <c r="D70" s="2"/>
      <c r="E70" s="2"/>
    </row>
    <row r="71" ht="15">
      <c r="A71" s="2"/>
      <c r="B71" s="2"/>
      <c r="C71" s="2"/>
      <c r="D71" s="2"/>
      <c r="E71" s="2"/>
    </row>
    <row r="72" ht="15">
      <c r="A72" s="2"/>
      <c r="B72" s="2"/>
      <c r="C72" s="2"/>
      <c r="D72" s="2"/>
      <c r="E72" s="2"/>
    </row>
    <row r="73" ht="15">
      <c r="A73" s="2"/>
      <c r="B73" s="2"/>
      <c r="C73" s="2"/>
      <c r="D73" s="2"/>
      <c r="E73" s="2"/>
    </row>
    <row r="74" ht="15">
      <c r="A74" s="2"/>
      <c r="B74" s="2"/>
      <c r="C74" s="2"/>
      <c r="D74" s="2"/>
      <c r="E74" s="2"/>
    </row>
    <row r="75" ht="15">
      <c r="A75" s="2"/>
      <c r="B75" s="2"/>
      <c r="C75" s="2"/>
      <c r="D75" s="2"/>
      <c r="E75" s="2"/>
    </row>
    <row r="76" ht="15">
      <c r="A76" s="2"/>
      <c r="B76" s="2"/>
      <c r="C76" s="2"/>
      <c r="D76" s="2"/>
      <c r="E76" s="2"/>
    </row>
    <row r="77" ht="15">
      <c r="A77" s="2"/>
      <c r="B77" s="2"/>
      <c r="C77" s="2"/>
      <c r="D77" s="2"/>
      <c r="E77" s="2"/>
    </row>
    <row r="78" ht="15">
      <c r="A78" s="2"/>
      <c r="B78" s="2"/>
      <c r="C78" s="2"/>
      <c r="D78" s="2"/>
      <c r="E78" s="2"/>
    </row>
    <row r="79" ht="15">
      <c r="A79" s="2"/>
      <c r="B79" s="2"/>
      <c r="C79" s="2"/>
      <c r="D79" s="2"/>
      <c r="E79" s="2"/>
    </row>
    <row r="80" ht="15">
      <c r="A80" s="2"/>
      <c r="B80" s="2"/>
      <c r="C80" s="2"/>
      <c r="D80" s="2"/>
      <c r="E80" s="2"/>
    </row>
    <row r="81" ht="15">
      <c r="A81" s="2"/>
      <c r="B81" s="2"/>
      <c r="C81" s="2"/>
      <c r="D81" s="2"/>
      <c r="E81" s="2"/>
    </row>
    <row r="82" ht="15">
      <c r="A82" s="2"/>
      <c r="B82" s="2"/>
      <c r="C82" s="2"/>
      <c r="D82" s="2"/>
      <c r="E82" s="2"/>
    </row>
    <row r="83" ht="15">
      <c r="A83" s="2"/>
      <c r="B83" s="2"/>
      <c r="C83" s="2"/>
      <c r="D83" s="2"/>
      <c r="E83" s="2"/>
    </row>
    <row r="84" ht="15">
      <c r="A84" s="2"/>
      <c r="B84" s="2"/>
      <c r="C84" s="2"/>
      <c r="D84" s="2"/>
      <c r="E84" s="2"/>
    </row>
    <row r="85" ht="15">
      <c r="A85" s="2"/>
      <c r="B85" s="2"/>
      <c r="C85" s="2"/>
      <c r="D85" s="2"/>
      <c r="E85" s="2"/>
    </row>
    <row r="86" ht="15">
      <c r="A86" s="2"/>
      <c r="B86" s="2"/>
      <c r="C86" s="2"/>
      <c r="D86" s="2"/>
      <c r="E86" s="2"/>
    </row>
    <row r="87" ht="15">
      <c r="A87" s="2"/>
      <c r="B87" s="2"/>
      <c r="C87" s="2"/>
      <c r="D87" s="2"/>
      <c r="E87" s="2"/>
    </row>
    <row r="88" ht="15">
      <c r="A88" s="2"/>
      <c r="B88" s="2"/>
      <c r="C88" s="2"/>
      <c r="D88" s="2"/>
      <c r="E88" s="2"/>
    </row>
    <row r="89" ht="15">
      <c r="A89" s="2"/>
      <c r="B89" s="2"/>
      <c r="C89" s="2"/>
      <c r="D89" s="2"/>
      <c r="E89" s="2"/>
    </row>
    <row r="90" ht="15">
      <c r="A90" s="2"/>
      <c r="B90" s="2"/>
      <c r="C90" s="2"/>
      <c r="D90" s="2"/>
      <c r="E90" s="2"/>
    </row>
    <row r="91" ht="15">
      <c r="A91" s="2"/>
      <c r="B91" s="2"/>
      <c r="C91" s="2"/>
      <c r="D91" s="2"/>
      <c r="E91" s="2"/>
    </row>
    <row r="92" ht="15">
      <c r="A92" s="2"/>
      <c r="B92" s="2"/>
      <c r="C92" s="2"/>
      <c r="D92" s="2"/>
      <c r="E92" s="2"/>
    </row>
    <row r="93" ht="15">
      <c r="A93" s="2"/>
      <c r="B93" s="2"/>
      <c r="C93" s="2"/>
      <c r="D93" s="2"/>
      <c r="E93" s="2"/>
    </row>
    <row r="94" ht="15">
      <c r="A94" s="2"/>
      <c r="B94" s="2"/>
      <c r="C94" s="2"/>
      <c r="D94" s="2"/>
      <c r="E94" s="2"/>
    </row>
    <row r="95" ht="15">
      <c r="A95" s="2"/>
      <c r="B95" s="2"/>
      <c r="C95" s="2"/>
      <c r="D95" s="2"/>
      <c r="E95" s="2"/>
    </row>
    <row r="96" ht="15">
      <c r="A96" s="2"/>
      <c r="B96" s="2"/>
      <c r="C96" s="2"/>
      <c r="D96" s="2"/>
      <c r="E96" s="2"/>
    </row>
    <row r="97" ht="15">
      <c r="A97" s="2"/>
      <c r="B97" s="2"/>
      <c r="C97" s="2"/>
      <c r="D97" s="2"/>
      <c r="E97" s="2"/>
    </row>
    <row r="98" ht="15">
      <c r="A98" s="2"/>
      <c r="B98" s="2"/>
      <c r="C98" s="2"/>
      <c r="D98" s="2"/>
      <c r="E98" s="2"/>
    </row>
    <row r="99" ht="15">
      <c r="A99" s="2"/>
      <c r="B99" s="2"/>
      <c r="C99" s="2"/>
      <c r="D99" s="2"/>
      <c r="E99" s="2"/>
    </row>
    <row r="100" ht="15">
      <c r="A100" s="2"/>
      <c r="B100" s="2"/>
      <c r="C100" s="2"/>
      <c r="D100" s="2"/>
      <c r="E100" s="2"/>
    </row>
    <row r="101" ht="15">
      <c r="A101" s="2"/>
      <c r="B101" s="2"/>
      <c r="C101" s="2"/>
      <c r="D101" s="2"/>
      <c r="E101" s="2"/>
    </row>
    <row r="102" ht="15">
      <c r="A102" s="2"/>
      <c r="B102" s="2"/>
      <c r="C102" s="2"/>
      <c r="D102" s="2"/>
      <c r="E102" s="2"/>
    </row>
    <row r="103" ht="15">
      <c r="A103" s="2"/>
      <c r="B103" s="2"/>
      <c r="C103" s="2"/>
      <c r="D103" s="2"/>
      <c r="E103" s="2"/>
    </row>
    <row r="104" ht="15">
      <c r="A104" s="2"/>
      <c r="B104" s="2"/>
      <c r="C104" s="2"/>
      <c r="D104" s="2"/>
      <c r="E104" s="2"/>
    </row>
    <row r="105" ht="15">
      <c r="A105" s="2"/>
      <c r="B105" s="2"/>
      <c r="C105" s="2"/>
      <c r="D105" s="2"/>
      <c r="E105" s="2"/>
    </row>
    <row r="106" ht="15">
      <c r="A106" s="2"/>
      <c r="B106" s="2"/>
      <c r="C106" s="2"/>
      <c r="D106" s="2"/>
      <c r="E106" s="2"/>
    </row>
    <row r="107" ht="15">
      <c r="A107" s="2"/>
      <c r="B107" s="2"/>
      <c r="C107" s="2"/>
      <c r="D107" s="2"/>
      <c r="E107" s="2"/>
    </row>
    <row r="108" ht="15">
      <c r="A108" s="2"/>
      <c r="B108" s="2"/>
      <c r="C108" s="2"/>
      <c r="D108" s="2"/>
      <c r="E108" s="2"/>
    </row>
    <row r="109" ht="15">
      <c r="A109" s="2"/>
      <c r="B109" s="2"/>
      <c r="C109" s="2"/>
      <c r="D109" s="2"/>
      <c r="E109" s="2"/>
    </row>
    <row r="110" ht="15">
      <c r="A110" s="2"/>
      <c r="B110" s="2"/>
      <c r="C110" s="2"/>
      <c r="D110" s="2"/>
      <c r="E110" s="2"/>
    </row>
    <row r="111" ht="15">
      <c r="A111" s="2"/>
      <c r="B111" s="2"/>
      <c r="C111" s="2"/>
      <c r="D111" s="2"/>
      <c r="E111" s="2"/>
    </row>
    <row r="112" ht="15">
      <c r="A112" s="2"/>
      <c r="B112" s="2"/>
      <c r="C112" s="2"/>
      <c r="D112" s="2"/>
      <c r="E112" s="2"/>
    </row>
    <row r="113" ht="15">
      <c r="A113" s="2"/>
      <c r="B113" s="2"/>
      <c r="C113" s="2"/>
      <c r="D113" s="2"/>
      <c r="E113" s="2"/>
    </row>
    <row r="114" ht="15">
      <c r="A114" s="2"/>
      <c r="B114" s="2"/>
      <c r="C114" s="2"/>
      <c r="D114" s="2"/>
      <c r="E114" s="2"/>
    </row>
    <row r="115" ht="15">
      <c r="A115" s="2"/>
      <c r="B115" s="2"/>
      <c r="C115" s="2"/>
      <c r="D115" s="2"/>
      <c r="E115" s="2"/>
    </row>
    <row r="116" ht="15">
      <c r="A116" s="2"/>
      <c r="B116" s="2"/>
      <c r="C116" s="2"/>
      <c r="D116" s="2"/>
      <c r="E116" s="2"/>
    </row>
    <row r="117" ht="15">
      <c r="A117" s="2"/>
      <c r="B117" s="2"/>
      <c r="C117" s="2"/>
      <c r="D117" s="2"/>
      <c r="E117" s="2"/>
    </row>
    <row r="118" ht="15">
      <c r="A118" s="2"/>
      <c r="B118" s="2"/>
      <c r="C118" s="2"/>
      <c r="D118" s="2"/>
      <c r="E118" s="2"/>
    </row>
    <row r="119" ht="15">
      <c r="A119" s="2"/>
      <c r="B119" s="2"/>
      <c r="C119" s="2"/>
      <c r="D119" s="2"/>
      <c r="E119" s="2"/>
    </row>
    <row r="120" ht="15">
      <c r="A120" s="2"/>
      <c r="B120" s="2"/>
      <c r="C120" s="2"/>
      <c r="D120" s="2"/>
      <c r="E120" s="2"/>
    </row>
    <row r="121" ht="15">
      <c r="A121" s="2"/>
      <c r="B121" s="2"/>
      <c r="C121" s="2"/>
      <c r="D121" s="2"/>
      <c r="E121" s="2"/>
    </row>
    <row r="122" ht="15">
      <c r="A122" s="2"/>
      <c r="B122" s="2"/>
      <c r="C122" s="2"/>
      <c r="D122" s="2"/>
      <c r="E122" s="2"/>
    </row>
    <row r="123" ht="15">
      <c r="A123" s="2"/>
      <c r="B123" s="2"/>
      <c r="C123" s="2"/>
      <c r="D123" s="2"/>
      <c r="E123" s="2"/>
    </row>
    <row r="124" ht="15">
      <c r="A124" s="2"/>
      <c r="B124" s="2"/>
      <c r="C124" s="2"/>
      <c r="D124" s="2"/>
      <c r="E124" s="2"/>
    </row>
    <row r="125" ht="15">
      <c r="A125" s="2"/>
      <c r="B125" s="2"/>
      <c r="C125" s="2"/>
      <c r="D125" s="2"/>
      <c r="E125" s="2"/>
    </row>
    <row r="126" ht="15">
      <c r="A126" s="2"/>
      <c r="B126" s="2"/>
      <c r="C126" s="2"/>
      <c r="D126" s="2"/>
      <c r="E126" s="2"/>
    </row>
    <row r="127" ht="15">
      <c r="A127" s="2"/>
      <c r="B127" s="2"/>
      <c r="C127" s="2"/>
      <c r="D127" s="2"/>
      <c r="E127" s="2"/>
    </row>
    <row r="128" ht="15">
      <c r="A128" s="2"/>
      <c r="B128" s="2"/>
      <c r="C128" s="2"/>
      <c r="D128" s="2"/>
      <c r="E128" s="2"/>
    </row>
    <row r="129" ht="15">
      <c r="A129" s="2"/>
      <c r="B129" s="2"/>
      <c r="C129" s="2"/>
      <c r="D129" s="2"/>
      <c r="E129" s="2"/>
    </row>
    <row r="130" ht="15">
      <c r="A130" s="2"/>
      <c r="B130" s="2"/>
      <c r="C130" s="2"/>
      <c r="D130" s="2"/>
      <c r="E130" s="2"/>
    </row>
    <row r="131" ht="15">
      <c r="A131" s="2"/>
      <c r="B131" s="2"/>
      <c r="C131" s="2"/>
      <c r="D131" s="2"/>
      <c r="E131" s="2"/>
    </row>
    <row r="132" ht="15">
      <c r="A132" s="2"/>
      <c r="B132" s="2"/>
      <c r="C132" s="2"/>
      <c r="D132" s="2"/>
      <c r="E132" s="2"/>
    </row>
    <row r="133" ht="15">
      <c r="A133" s="2"/>
      <c r="B133" s="2"/>
      <c r="C133" s="2"/>
      <c r="D133" s="2"/>
      <c r="E133" s="2"/>
    </row>
    <row r="134" ht="15">
      <c r="A134" s="2"/>
      <c r="B134" s="2"/>
      <c r="C134" s="2"/>
      <c r="D134" s="2"/>
      <c r="E134" s="2"/>
    </row>
    <row r="135" ht="15">
      <c r="A135" s="2"/>
      <c r="B135" s="2"/>
      <c r="C135" s="2"/>
      <c r="D135" s="2"/>
      <c r="E135" s="2"/>
    </row>
    <row r="136" ht="15">
      <c r="A136" s="2"/>
      <c r="B136" s="2"/>
      <c r="C136" s="2"/>
      <c r="D136" s="2"/>
      <c r="E136" s="2"/>
    </row>
    <row r="137" ht="15">
      <c r="A137" s="2"/>
      <c r="B137" s="2"/>
      <c r="C137" s="2"/>
      <c r="D137" s="2"/>
      <c r="E137" s="2"/>
    </row>
    <row r="138" ht="15">
      <c r="A138" s="2"/>
      <c r="B138" s="2"/>
      <c r="C138" s="2"/>
      <c r="D138" s="2"/>
      <c r="E138" s="2"/>
    </row>
    <row r="139" ht="15">
      <c r="A139" s="2"/>
      <c r="B139" s="2"/>
      <c r="C139" s="2"/>
      <c r="D139" s="2"/>
      <c r="E139" s="2"/>
    </row>
    <row r="140" ht="15">
      <c r="A140" s="2"/>
      <c r="B140" s="2"/>
      <c r="C140" s="2"/>
      <c r="D140" s="2"/>
      <c r="E140" s="2"/>
    </row>
    <row r="141" ht="15">
      <c r="A141" s="2"/>
      <c r="B141" s="2"/>
      <c r="C141" s="2"/>
      <c r="D141" s="2"/>
      <c r="E141" s="2"/>
    </row>
    <row r="142" ht="15">
      <c r="A142" s="2"/>
      <c r="B142" s="2"/>
      <c r="C142" s="2"/>
      <c r="D142" s="2"/>
      <c r="E142" s="2"/>
    </row>
    <row r="143" ht="15">
      <c r="A143" s="2"/>
      <c r="B143" s="2"/>
      <c r="C143" s="2"/>
      <c r="D143" s="2"/>
      <c r="E143" s="2"/>
    </row>
    <row r="144" ht="15">
      <c r="A144" s="2"/>
      <c r="B144" s="2"/>
      <c r="C144" s="2"/>
      <c r="D144" s="2"/>
      <c r="E144" s="2"/>
    </row>
    <row r="145" ht="15">
      <c r="A145" s="2"/>
      <c r="B145" s="2"/>
      <c r="C145" s="2"/>
      <c r="D145" s="2"/>
      <c r="E145" s="2"/>
    </row>
    <row r="146" ht="15">
      <c r="A146" s="2"/>
      <c r="B146" s="2"/>
      <c r="C146" s="2"/>
      <c r="D146" s="2"/>
      <c r="E146" s="2"/>
    </row>
    <row r="147" ht="15">
      <c r="A147" s="2"/>
      <c r="B147" s="2"/>
      <c r="C147" s="2"/>
      <c r="D147" s="2"/>
      <c r="E147" s="2"/>
    </row>
    <row r="148" ht="15">
      <c r="A148" s="2"/>
      <c r="B148" s="2"/>
      <c r="C148" s="2"/>
      <c r="D148" s="2"/>
      <c r="E148" s="2"/>
    </row>
    <row r="149" ht="15">
      <c r="A149" s="2"/>
      <c r="B149" s="2"/>
      <c r="C149" s="2"/>
      <c r="D149" s="2"/>
      <c r="E149" s="2"/>
    </row>
    <row r="150" ht="15">
      <c r="A150" s="2"/>
      <c r="B150" s="2"/>
      <c r="C150" s="2"/>
      <c r="D150" s="2"/>
      <c r="E150" s="2"/>
    </row>
    <row r="151" ht="15">
      <c r="A151" s="2"/>
      <c r="B151" s="2"/>
      <c r="C151" s="2"/>
      <c r="D151" s="2"/>
      <c r="E151" s="2"/>
    </row>
    <row r="152" ht="15">
      <c r="A152" s="2"/>
      <c r="B152" s="2"/>
      <c r="C152" s="2"/>
      <c r="D152" s="2"/>
      <c r="E152" s="2"/>
    </row>
    <row r="153" ht="15">
      <c r="A153" s="2"/>
      <c r="B153" s="2"/>
      <c r="C153" s="2"/>
      <c r="D153" s="2"/>
      <c r="E153" s="2"/>
    </row>
    <row r="154" ht="15">
      <c r="A154" s="2"/>
      <c r="B154" s="2"/>
      <c r="C154" s="2"/>
      <c r="D154" s="2"/>
      <c r="E154" s="2"/>
    </row>
    <row r="155" ht="15">
      <c r="A155" s="2"/>
      <c r="B155" s="2"/>
      <c r="C155" s="2"/>
      <c r="D155" s="2"/>
      <c r="E155" s="2"/>
    </row>
    <row r="156" ht="15">
      <c r="A156" s="2"/>
      <c r="B156" s="2"/>
      <c r="C156" s="2"/>
      <c r="D156" s="2"/>
      <c r="E156" s="2"/>
    </row>
    <row r="157" ht="15">
      <c r="A157" s="2"/>
      <c r="B157" s="2"/>
      <c r="C157" s="2"/>
      <c r="D157" s="2"/>
      <c r="E157" s="2"/>
    </row>
    <row r="158" ht="15">
      <c r="A158" s="2"/>
      <c r="B158" s="2"/>
      <c r="C158" s="2"/>
      <c r="D158" s="2"/>
      <c r="E158" s="2"/>
    </row>
    <row r="159" ht="15">
      <c r="A159" s="2"/>
      <c r="B159" s="2"/>
      <c r="C159" s="2"/>
      <c r="D159" s="2"/>
      <c r="E159" s="2"/>
    </row>
    <row r="160" ht="15">
      <c r="A160" s="2"/>
      <c r="B160" s="2"/>
      <c r="C160" s="2"/>
      <c r="D160" s="2"/>
      <c r="E160" s="2"/>
    </row>
    <row r="161" ht="15">
      <c r="A161" s="2"/>
      <c r="B161" s="2"/>
      <c r="C161" s="2"/>
      <c r="D161" s="2"/>
      <c r="E161" s="2"/>
    </row>
    <row r="162" ht="15">
      <c r="A162" s="2"/>
      <c r="B162" s="2"/>
      <c r="C162" s="2"/>
      <c r="D162" s="2"/>
      <c r="E162" s="2"/>
    </row>
    <row r="163" ht="15">
      <c r="A163" s="2"/>
      <c r="B163" s="2"/>
      <c r="C163" s="2"/>
      <c r="D163" s="2"/>
      <c r="E163" s="2"/>
    </row>
    <row r="164" ht="15">
      <c r="A164" s="2"/>
      <c r="B164" s="2"/>
      <c r="C164" s="2"/>
      <c r="D164" s="2"/>
      <c r="E164" s="2"/>
    </row>
    <row r="165" ht="15">
      <c r="A165" s="2"/>
      <c r="B165" s="2"/>
      <c r="C165" s="2"/>
      <c r="D165" s="2"/>
      <c r="E165" s="2"/>
    </row>
    <row r="166" ht="15">
      <c r="A166" s="2"/>
      <c r="B166" s="2"/>
      <c r="C166" s="2"/>
      <c r="D166" s="2"/>
      <c r="E166" s="2"/>
    </row>
    <row r="167" ht="15">
      <c r="A167" s="2"/>
      <c r="B167" s="2"/>
      <c r="C167" s="2"/>
      <c r="D167" s="2"/>
      <c r="E167" s="2"/>
    </row>
    <row r="168" ht="15">
      <c r="A168" s="2"/>
      <c r="B168" s="2"/>
      <c r="C168" s="2"/>
      <c r="D168" s="2"/>
      <c r="E168" s="2"/>
    </row>
    <row r="169" ht="15">
      <c r="A169" s="2"/>
      <c r="B169" s="2"/>
      <c r="C169" s="2"/>
      <c r="D169" s="2"/>
      <c r="E169" s="2"/>
    </row>
    <row r="170" ht="15">
      <c r="A170" s="2"/>
      <c r="B170" s="2"/>
      <c r="C170" s="2"/>
      <c r="D170" s="2"/>
      <c r="E170" s="2"/>
    </row>
    <row r="171" ht="15">
      <c r="A171" s="2"/>
      <c r="B171" s="2"/>
      <c r="C171" s="2"/>
      <c r="D171" s="2"/>
      <c r="E171" s="2"/>
    </row>
    <row r="172" ht="15">
      <c r="A172" s="2"/>
      <c r="B172" s="2"/>
      <c r="C172" s="2"/>
      <c r="D172" s="2"/>
      <c r="E172" s="2"/>
    </row>
    <row r="173" ht="15">
      <c r="A173" s="2"/>
      <c r="B173" s="2"/>
      <c r="C173" s="2"/>
      <c r="D173" s="2"/>
      <c r="E173" s="2"/>
    </row>
    <row r="174" ht="15">
      <c r="A174" s="2"/>
      <c r="B174" s="2"/>
      <c r="C174" s="2"/>
      <c r="D174" s="2"/>
      <c r="E174" s="2"/>
    </row>
    <row r="175" ht="15">
      <c r="A175" s="2"/>
      <c r="B175" s="2"/>
      <c r="C175" s="2"/>
      <c r="D175" s="2"/>
      <c r="E175" s="2"/>
    </row>
    <row r="176" ht="15">
      <c r="A176" s="2"/>
      <c r="B176" s="2"/>
      <c r="C176" s="2"/>
      <c r="D176" s="2"/>
      <c r="E176" s="2"/>
    </row>
    <row r="177" ht="15">
      <c r="A177" s="2"/>
      <c r="B177" s="2"/>
      <c r="C177" s="2"/>
      <c r="D177" s="2"/>
      <c r="E177" s="2"/>
    </row>
    <row r="178" ht="15">
      <c r="A178" s="2"/>
      <c r="B178" s="2"/>
      <c r="C178" s="2"/>
      <c r="D178" s="2"/>
      <c r="E178" s="2"/>
    </row>
    <row r="179" ht="15">
      <c r="A179" s="2"/>
      <c r="B179" s="2"/>
      <c r="C179" s="2"/>
      <c r="D179" s="2"/>
      <c r="E179" s="2"/>
    </row>
    <row r="180" ht="15">
      <c r="A180" s="2"/>
      <c r="B180" s="2"/>
      <c r="C180" s="2"/>
      <c r="D180" s="2"/>
      <c r="E180" s="2"/>
    </row>
    <row r="181" ht="15">
      <c r="A181" s="2"/>
      <c r="B181" s="2"/>
      <c r="C181" s="2"/>
      <c r="D181" s="2"/>
      <c r="E181" s="2"/>
    </row>
    <row r="182" ht="15">
      <c r="A182" s="2"/>
      <c r="B182" s="2"/>
      <c r="C182" s="2"/>
      <c r="D182" s="2"/>
      <c r="E182" s="2"/>
    </row>
    <row r="183" ht="15">
      <c r="A183" s="2"/>
      <c r="B183" s="2"/>
      <c r="C183" s="2"/>
      <c r="D183" s="2"/>
      <c r="E183" s="2"/>
    </row>
    <row r="184" ht="15">
      <c r="A184" s="2"/>
      <c r="B184" s="2"/>
      <c r="C184" s="2"/>
      <c r="D184" s="2"/>
      <c r="E184" s="2"/>
    </row>
    <row r="185" ht="15">
      <c r="A185" s="2"/>
      <c r="B185" s="2"/>
      <c r="C185" s="2"/>
      <c r="D185" s="2"/>
      <c r="E185" s="2"/>
    </row>
    <row r="186" ht="15">
      <c r="A186" s="2"/>
      <c r="B186" s="2"/>
      <c r="C186" s="2"/>
      <c r="D186" s="2"/>
      <c r="E186" s="2"/>
    </row>
    <row r="187" ht="15">
      <c r="A187" s="2"/>
      <c r="B187" s="2"/>
      <c r="C187" s="2"/>
      <c r="D187" s="2"/>
      <c r="E187" s="2"/>
    </row>
    <row r="188" ht="15">
      <c r="A188" s="2"/>
      <c r="B188" s="2"/>
      <c r="C188" s="2"/>
      <c r="D188" s="2"/>
      <c r="E188" s="2"/>
    </row>
    <row r="189" ht="15">
      <c r="A189" s="2"/>
      <c r="B189" s="2"/>
      <c r="C189" s="2"/>
      <c r="D189" s="2"/>
      <c r="E189" s="2"/>
    </row>
    <row r="190" ht="15">
      <c r="A190" s="2"/>
      <c r="B190" s="2"/>
      <c r="C190" s="2"/>
      <c r="D190" s="2"/>
      <c r="E190" s="2"/>
    </row>
    <row r="191" ht="15">
      <c r="A191" s="2"/>
      <c r="B191" s="2"/>
      <c r="C191" s="2"/>
      <c r="D191" s="2"/>
      <c r="E191" s="2"/>
    </row>
    <row r="192" ht="15">
      <c r="A192" s="2"/>
      <c r="B192" s="2"/>
      <c r="C192" s="2"/>
      <c r="D192" s="2"/>
      <c r="E192" s="2"/>
    </row>
    <row r="193" ht="15">
      <c r="A193" s="2"/>
      <c r="B193" s="2"/>
      <c r="C193" s="2"/>
      <c r="D193" s="2"/>
      <c r="E193" s="2"/>
    </row>
    <row r="194" ht="15">
      <c r="A194" s="2"/>
      <c r="B194" s="2"/>
      <c r="C194" s="2"/>
      <c r="D194" s="2"/>
      <c r="E194" s="2"/>
    </row>
    <row r="195" ht="15">
      <c r="A195" s="2"/>
      <c r="B195" s="2"/>
      <c r="C195" s="2"/>
      <c r="D195" s="2"/>
      <c r="E195" s="2"/>
    </row>
    <row r="196" ht="15">
      <c r="A196" s="2"/>
      <c r="B196" s="2"/>
      <c r="C196" s="2"/>
      <c r="D196" s="2"/>
      <c r="E196" s="2"/>
    </row>
    <row r="197" ht="15">
      <c r="A197" s="2"/>
      <c r="B197" s="2"/>
      <c r="C197" s="2"/>
      <c r="D197" s="2"/>
      <c r="E197" s="2"/>
    </row>
    <row r="198" ht="15">
      <c r="A198" s="2"/>
      <c r="B198" s="2"/>
      <c r="C198" s="2"/>
      <c r="D198" s="2"/>
      <c r="E198" s="2"/>
    </row>
    <row r="199" ht="15">
      <c r="A199" s="2"/>
      <c r="B199" s="2"/>
      <c r="C199" s="2"/>
      <c r="D199" s="2"/>
      <c r="E199" s="2"/>
    </row>
    <row r="200" ht="15">
      <c r="A200" s="2"/>
      <c r="B200" s="2"/>
      <c r="C200" s="2"/>
      <c r="D200" s="2"/>
      <c r="E200" s="2"/>
    </row>
    <row r="201" ht="15">
      <c r="A201" s="2"/>
      <c r="B201" s="2"/>
      <c r="C201" s="2"/>
      <c r="D201" s="2"/>
      <c r="E201" s="2"/>
    </row>
    <row r="202" ht="15">
      <c r="A202" s="2"/>
      <c r="B202" s="2"/>
      <c r="C202" s="2"/>
      <c r="D202" s="2"/>
      <c r="E202" s="2"/>
    </row>
    <row r="203" ht="15">
      <c r="A203" s="2"/>
      <c r="B203" s="2"/>
      <c r="C203" s="2"/>
      <c r="D203" s="2"/>
      <c r="E203" s="2"/>
    </row>
    <row r="204" ht="15">
      <c r="A204" s="2"/>
      <c r="B204" s="2"/>
      <c r="C204" s="2"/>
      <c r="D204" s="2"/>
      <c r="E204" s="2"/>
    </row>
    <row r="205" ht="15">
      <c r="A205" s="2"/>
      <c r="B205" s="2"/>
      <c r="C205" s="2"/>
      <c r="D205" s="2"/>
      <c r="E205" s="2"/>
    </row>
    <row r="206" ht="15">
      <c r="A206" s="2"/>
      <c r="B206" s="2"/>
      <c r="C206" s="2"/>
      <c r="D206" s="2"/>
      <c r="E206" s="2"/>
    </row>
    <row r="207" ht="15">
      <c r="A207" s="2"/>
      <c r="B207" s="2"/>
      <c r="C207" s="2"/>
      <c r="D207" s="2"/>
      <c r="E207" s="2"/>
    </row>
    <row r="208" ht="15">
      <c r="A208" s="2"/>
      <c r="B208" s="2"/>
      <c r="C208" s="2"/>
      <c r="D208" s="2"/>
      <c r="E208" s="2"/>
    </row>
    <row r="209" ht="15">
      <c r="A209" s="2"/>
      <c r="B209" s="2"/>
      <c r="C209" s="2"/>
      <c r="D209" s="2"/>
      <c r="E209" s="2"/>
    </row>
    <row r="210" ht="15">
      <c r="A210" s="2"/>
      <c r="B210" s="2"/>
      <c r="C210" s="2"/>
      <c r="D210" s="2"/>
      <c r="E210" s="2"/>
    </row>
    <row r="211" ht="15">
      <c r="A211" s="2"/>
      <c r="B211" s="2"/>
      <c r="C211" s="2"/>
      <c r="D211" s="2"/>
      <c r="E211" s="2"/>
    </row>
    <row r="212" ht="15">
      <c r="A212" s="2"/>
      <c r="B212" s="2"/>
      <c r="C212" s="2"/>
      <c r="D212" s="2"/>
      <c r="E212" s="2"/>
    </row>
    <row r="213" ht="15">
      <c r="A213" s="2"/>
      <c r="B213" s="2"/>
      <c r="C213" s="2"/>
      <c r="D213" s="2"/>
      <c r="E213" s="2"/>
    </row>
    <row r="214" ht="15">
      <c r="A214" s="2"/>
      <c r="B214" s="2"/>
      <c r="C214" s="2"/>
      <c r="D214" s="2"/>
      <c r="E214" s="2"/>
    </row>
    <row r="215" ht="15">
      <c r="A215" s="2"/>
      <c r="B215" s="2"/>
      <c r="C215" s="2"/>
      <c r="D215" s="2"/>
      <c r="E215" s="2"/>
    </row>
    <row r="216" ht="15">
      <c r="A216" s="2"/>
      <c r="B216" s="2"/>
      <c r="C216" s="2"/>
      <c r="D216" s="2"/>
      <c r="E216" s="2"/>
    </row>
    <row r="217" ht="15">
      <c r="A217" s="2"/>
      <c r="B217" s="2"/>
      <c r="C217" s="2"/>
      <c r="D217" s="2"/>
      <c r="E217" s="2"/>
    </row>
    <row r="218" ht="15">
      <c r="A218" s="2"/>
      <c r="B218" s="2"/>
      <c r="C218" s="2"/>
      <c r="D218" s="2"/>
      <c r="E218" s="2"/>
    </row>
    <row r="219" ht="15">
      <c r="A219" s="2"/>
      <c r="B219" s="2"/>
      <c r="C219" s="2"/>
      <c r="D219" s="2"/>
      <c r="E219" s="2"/>
    </row>
    <row r="220" ht="15">
      <c r="A220" s="2"/>
      <c r="B220" s="2"/>
      <c r="C220" s="2"/>
      <c r="D220" s="2"/>
      <c r="E220" s="2"/>
    </row>
    <row r="221" ht="15">
      <c r="A221" s="2"/>
      <c r="B221" s="2"/>
      <c r="C221" s="2"/>
      <c r="D221" s="2"/>
      <c r="E221" s="2"/>
    </row>
    <row r="222" ht="15">
      <c r="A222" s="2"/>
      <c r="B222" s="2"/>
      <c r="C222" s="2"/>
      <c r="D222" s="2"/>
      <c r="E222" s="2"/>
    </row>
    <row r="223" ht="15">
      <c r="A223" s="2"/>
      <c r="B223" s="2"/>
      <c r="C223" s="2"/>
      <c r="D223" s="2"/>
      <c r="E223" s="2"/>
    </row>
    <row r="224" ht="15">
      <c r="A224" s="2"/>
      <c r="B224" s="2"/>
      <c r="C224" s="2"/>
      <c r="D224" s="2"/>
      <c r="E224" s="2"/>
    </row>
    <row r="225" ht="15">
      <c r="A225" s="2"/>
      <c r="B225" s="2"/>
      <c r="C225" s="2"/>
      <c r="D225" s="2"/>
      <c r="E225" s="2"/>
    </row>
    <row r="226" ht="15">
      <c r="A226" s="2"/>
      <c r="B226" s="2"/>
      <c r="C226" s="2"/>
      <c r="D226" s="2"/>
      <c r="E226" s="2"/>
    </row>
    <row r="227" ht="15">
      <c r="A227" s="2"/>
      <c r="B227" s="2"/>
      <c r="C227" s="2"/>
      <c r="D227" s="2"/>
      <c r="E227" s="2"/>
    </row>
    <row r="228" ht="15">
      <c r="A228" s="2"/>
      <c r="B228" s="2"/>
      <c r="C228" s="2"/>
      <c r="D228" s="2"/>
      <c r="E228" s="2"/>
    </row>
    <row r="229" ht="15">
      <c r="A229" s="2"/>
      <c r="B229" s="2"/>
      <c r="C229" s="2"/>
      <c r="D229" s="2"/>
      <c r="E229" s="2"/>
    </row>
    <row r="230" ht="15">
      <c r="A230" s="2"/>
      <c r="B230" s="2"/>
      <c r="C230" s="2"/>
      <c r="D230" s="2"/>
      <c r="E230" s="2"/>
    </row>
    <row r="231" ht="15">
      <c r="A231" s="2"/>
      <c r="B231" s="2"/>
      <c r="C231" s="2"/>
      <c r="D231" s="2"/>
      <c r="E231" s="2"/>
    </row>
    <row r="232" ht="15">
      <c r="A232" s="2"/>
      <c r="B232" s="2"/>
      <c r="C232" s="2"/>
      <c r="D232" s="2"/>
      <c r="E232" s="2"/>
    </row>
    <row r="233" ht="15">
      <c r="A233" s="2"/>
      <c r="B233" s="2"/>
      <c r="C233" s="2"/>
      <c r="D233" s="2"/>
      <c r="E233" s="2"/>
    </row>
    <row r="234" ht="15">
      <c r="A234" s="2"/>
      <c r="B234" s="2"/>
      <c r="C234" s="2"/>
      <c r="D234" s="2"/>
      <c r="E234" s="2"/>
    </row>
    <row r="235" ht="15">
      <c r="A235" s="2"/>
      <c r="B235" s="2"/>
      <c r="C235" s="2"/>
      <c r="D235" s="2"/>
      <c r="E235" s="2"/>
    </row>
    <row r="236" ht="15">
      <c r="A236" s="2"/>
      <c r="B236" s="2"/>
      <c r="C236" s="2"/>
      <c r="D236" s="2"/>
      <c r="E236" s="2"/>
    </row>
    <row r="237" ht="15">
      <c r="A237" s="2"/>
      <c r="B237" s="2"/>
      <c r="C237" s="2"/>
      <c r="D237" s="2"/>
      <c r="E237" s="2"/>
    </row>
    <row r="238" ht="15">
      <c r="A238" s="2"/>
      <c r="B238" s="2"/>
      <c r="C238" s="2"/>
      <c r="D238" s="2"/>
      <c r="E238" s="2"/>
    </row>
    <row r="239" ht="15">
      <c r="A239" s="2"/>
      <c r="B239" s="2"/>
      <c r="C239" s="2"/>
      <c r="D239" s="2"/>
      <c r="E239" s="2"/>
    </row>
    <row r="240" ht="15">
      <c r="A240" s="2"/>
      <c r="B240" s="2"/>
      <c r="C240" s="2"/>
      <c r="D240" s="2"/>
      <c r="E240" s="2"/>
    </row>
    <row r="241" ht="15">
      <c r="A241" s="2"/>
      <c r="B241" s="2"/>
      <c r="C241" s="2"/>
      <c r="D241" s="2"/>
      <c r="E241" s="2"/>
    </row>
    <row r="242" ht="15">
      <c r="A242" s="2"/>
      <c r="B242" s="2"/>
      <c r="C242" s="2"/>
      <c r="D242" s="2"/>
      <c r="E242" s="2"/>
    </row>
    <row r="243" ht="15">
      <c r="A243" s="2"/>
      <c r="B243" s="2"/>
      <c r="C243" s="2"/>
      <c r="D243" s="2"/>
      <c r="E243" s="2"/>
    </row>
    <row r="244" ht="15">
      <c r="A244" s="2"/>
      <c r="B244" s="2"/>
      <c r="C244" s="2"/>
      <c r="D244" s="2"/>
      <c r="E244" s="2"/>
    </row>
    <row r="245" ht="15">
      <c r="A245" s="2"/>
      <c r="B245" s="2"/>
      <c r="C245" s="2"/>
      <c r="D245" s="2"/>
      <c r="E245" s="2"/>
    </row>
    <row r="246" ht="15">
      <c r="A246" s="2"/>
      <c r="B246" s="2"/>
      <c r="C246" s="2"/>
      <c r="D246" s="2"/>
      <c r="E246" s="2"/>
    </row>
    <row r="247" ht="15">
      <c r="A247" s="2"/>
      <c r="B247" s="2"/>
      <c r="C247" s="2"/>
      <c r="D247" s="2"/>
      <c r="E247" s="2"/>
    </row>
    <row r="248" ht="15">
      <c r="A248" s="2"/>
      <c r="B248" s="2"/>
      <c r="C248" s="2"/>
      <c r="D248" s="2"/>
      <c r="E248" s="2"/>
    </row>
    <row r="249" ht="15">
      <c r="A249" s="2"/>
      <c r="B249" s="2"/>
      <c r="C249" s="2"/>
      <c r="D249" s="2"/>
      <c r="E249" s="2"/>
    </row>
    <row r="250" ht="15">
      <c r="A250" s="2"/>
      <c r="B250" s="2"/>
      <c r="C250" s="2"/>
      <c r="D250" s="2"/>
      <c r="E250" s="2"/>
    </row>
    <row r="251" ht="15">
      <c r="A251" s="2"/>
      <c r="B251" s="2"/>
      <c r="C251" s="2"/>
      <c r="D251" s="2"/>
      <c r="E251" s="2"/>
    </row>
    <row r="252" ht="15">
      <c r="A252" s="2"/>
      <c r="B252" s="2"/>
      <c r="C252" s="2"/>
      <c r="D252" s="2"/>
      <c r="E252" s="2"/>
    </row>
    <row r="253" ht="15">
      <c r="A253" s="2"/>
      <c r="B253" s="2"/>
      <c r="C253" s="2"/>
      <c r="D253" s="2"/>
      <c r="E253" s="2"/>
    </row>
    <row r="254" ht="15">
      <c r="A254" s="2"/>
      <c r="B254" s="2"/>
      <c r="C254" s="2"/>
      <c r="D254" s="2"/>
      <c r="E254" s="2"/>
    </row>
    <row r="255" ht="15">
      <c r="A255" s="2"/>
      <c r="B255" s="2"/>
      <c r="C255" s="2"/>
      <c r="D255" s="2"/>
      <c r="E255" s="2"/>
    </row>
    <row r="256" ht="15">
      <c r="A256" s="2"/>
      <c r="B256" s="2"/>
      <c r="C256" s="2"/>
      <c r="D256" s="2"/>
      <c r="E256" s="2"/>
    </row>
    <row r="257" ht="15">
      <c r="A257" s="2"/>
      <c r="B257" s="2"/>
      <c r="C257" s="2"/>
      <c r="D257" s="2"/>
      <c r="E257" s="2"/>
    </row>
    <row r="258" ht="15">
      <c r="A258" s="2"/>
      <c r="B258" s="2"/>
      <c r="C258" s="2"/>
      <c r="D258" s="2"/>
      <c r="E258" s="2"/>
    </row>
    <row r="259" ht="15">
      <c r="A259" s="2"/>
      <c r="B259" s="2"/>
      <c r="C259" s="2"/>
      <c r="D259" s="2"/>
      <c r="E259" s="2"/>
    </row>
    <row r="260" ht="15">
      <c r="A260" s="2"/>
      <c r="B260" s="2"/>
      <c r="C260" s="2"/>
      <c r="D260" s="2"/>
      <c r="E260" s="2"/>
    </row>
    <row r="261" ht="15">
      <c r="A261" s="2"/>
      <c r="B261" s="2"/>
      <c r="C261" s="2"/>
      <c r="D261" s="2"/>
      <c r="E261" s="2"/>
    </row>
    <row r="262" ht="15">
      <c r="A262" s="2"/>
      <c r="B262" s="2"/>
      <c r="C262" s="2"/>
      <c r="D262" s="2"/>
      <c r="E262" s="2"/>
    </row>
    <row r="263" ht="15">
      <c r="A263" s="2"/>
      <c r="B263" s="2"/>
      <c r="C263" s="2"/>
      <c r="D263" s="2"/>
      <c r="E263" s="2"/>
    </row>
    <row r="264" ht="15">
      <c r="A264" s="2"/>
      <c r="B264" s="2"/>
      <c r="C264" s="2"/>
      <c r="D264" s="2"/>
      <c r="E264" s="2"/>
    </row>
    <row r="265" ht="15">
      <c r="A265" s="2"/>
      <c r="B265" s="2"/>
      <c r="C265" s="2"/>
      <c r="D265" s="2"/>
      <c r="E265" s="2"/>
    </row>
    <row r="266" ht="15">
      <c r="A266" s="2"/>
      <c r="B266" s="2"/>
      <c r="C266" s="2"/>
      <c r="D266" s="2"/>
      <c r="E266" s="2"/>
    </row>
    <row r="267" ht="15">
      <c r="A267" s="2"/>
      <c r="B267" s="2"/>
      <c r="C267" s="2"/>
      <c r="D267" s="2"/>
      <c r="E267" s="2"/>
    </row>
    <row r="268" ht="15">
      <c r="A268" s="2"/>
      <c r="B268" s="2"/>
      <c r="C268" s="2"/>
      <c r="D268" s="2"/>
      <c r="E268" s="2"/>
    </row>
    <row r="269" ht="15">
      <c r="A269" s="2"/>
      <c r="B269" s="2"/>
      <c r="C269" s="2"/>
      <c r="D269" s="2"/>
      <c r="E269" s="2"/>
    </row>
    <row r="270" ht="15">
      <c r="A270" s="2"/>
      <c r="B270" s="2"/>
      <c r="C270" s="2"/>
      <c r="D270" s="2"/>
      <c r="E270" s="2"/>
    </row>
    <row r="271" ht="15">
      <c r="A271" s="2"/>
      <c r="B271" s="2"/>
      <c r="C271" s="2"/>
      <c r="D271" s="2"/>
      <c r="E271" s="2"/>
    </row>
    <row r="272" ht="15">
      <c r="A272" s="2"/>
      <c r="B272" s="2"/>
      <c r="C272" s="2"/>
      <c r="D272" s="2"/>
      <c r="E272" s="2"/>
    </row>
    <row r="273" ht="15">
      <c r="A273" s="2"/>
      <c r="B273" s="2"/>
      <c r="C273" s="2"/>
      <c r="D273" s="2"/>
      <c r="E273" s="2"/>
    </row>
    <row r="274" ht="15">
      <c r="A274" s="2"/>
      <c r="B274" s="2"/>
      <c r="C274" s="2"/>
      <c r="D274" s="2"/>
      <c r="E274" s="2"/>
    </row>
    <row r="275" ht="15">
      <c r="A275" s="2"/>
      <c r="B275" s="2"/>
      <c r="C275" s="2"/>
      <c r="D275" s="2"/>
      <c r="E275" s="2"/>
    </row>
    <row r="276" ht="15">
      <c r="A276" s="2"/>
      <c r="B276" s="2"/>
      <c r="C276" s="2"/>
      <c r="D276" s="2"/>
      <c r="E276" s="2"/>
    </row>
    <row r="277" ht="15">
      <c r="A277" s="2"/>
      <c r="B277" s="2"/>
      <c r="C277" s="2"/>
      <c r="D277" s="2"/>
      <c r="E277" s="2"/>
    </row>
    <row r="278" ht="15">
      <c r="A278" s="2"/>
      <c r="B278" s="2"/>
      <c r="C278" s="2"/>
      <c r="D278" s="2"/>
      <c r="E278" s="2"/>
    </row>
    <row r="279" ht="15">
      <c r="A279" s="2"/>
      <c r="B279" s="2"/>
      <c r="C279" s="2"/>
      <c r="D279" s="2"/>
      <c r="E279" s="2"/>
    </row>
    <row r="280" ht="15">
      <c r="A280" s="2"/>
      <c r="B280" s="2"/>
      <c r="C280" s="2"/>
      <c r="D280" s="2"/>
      <c r="E280" s="2"/>
    </row>
    <row r="281" ht="15">
      <c r="A281" s="2"/>
      <c r="B281" s="2"/>
      <c r="C281" s="2"/>
      <c r="D281" s="2"/>
      <c r="E281" s="2"/>
    </row>
    <row r="282" ht="15">
      <c r="A282" s="2"/>
      <c r="B282" s="2"/>
      <c r="C282" s="2"/>
      <c r="D282" s="2"/>
      <c r="E282" s="2"/>
    </row>
    <row r="283" ht="15">
      <c r="A283" s="2"/>
      <c r="B283" s="2"/>
      <c r="C283" s="2"/>
      <c r="D283" s="2"/>
      <c r="E283" s="2"/>
    </row>
    <row r="284" ht="15">
      <c r="A284" s="2"/>
      <c r="B284" s="2"/>
      <c r="C284" s="2"/>
      <c r="D284" s="2"/>
      <c r="E284" s="2"/>
    </row>
    <row r="285" ht="15">
      <c r="A285" s="2"/>
      <c r="B285" s="2"/>
      <c r="C285" s="2"/>
      <c r="D285" s="2"/>
      <c r="E285" s="2"/>
    </row>
    <row r="286" ht="15">
      <c r="A286" s="2"/>
      <c r="B286" s="2"/>
      <c r="C286" s="2"/>
      <c r="D286" s="2"/>
      <c r="E286" s="2"/>
    </row>
    <row r="287" ht="15">
      <c r="A287" s="2"/>
      <c r="B287" s="2"/>
      <c r="C287" s="2"/>
      <c r="D287" s="2"/>
      <c r="E287" s="2"/>
    </row>
    <row r="288" ht="15">
      <c r="A288" s="2"/>
      <c r="B288" s="2"/>
      <c r="C288" s="2"/>
      <c r="D288" s="2"/>
      <c r="E288" s="2"/>
    </row>
    <row r="289" ht="15">
      <c r="A289" s="2"/>
      <c r="B289" s="2"/>
      <c r="C289" s="2"/>
      <c r="D289" s="2"/>
      <c r="E289" s="2"/>
    </row>
    <row r="290" ht="15">
      <c r="A290" s="2"/>
      <c r="B290" s="2"/>
      <c r="C290" s="2"/>
      <c r="D290" s="2"/>
      <c r="E290" s="2"/>
    </row>
    <row r="291" ht="15">
      <c r="A291" s="2"/>
      <c r="B291" s="2"/>
      <c r="C291" s="2"/>
      <c r="D291" s="2"/>
      <c r="E291" s="2"/>
    </row>
    <row r="292" ht="15">
      <c r="A292" s="2"/>
      <c r="B292" s="2"/>
      <c r="C292" s="2"/>
      <c r="D292" s="2"/>
      <c r="E292" s="2"/>
    </row>
    <row r="293" ht="15">
      <c r="A293" s="2"/>
      <c r="B293" s="2"/>
      <c r="C293" s="2"/>
      <c r="D293" s="2"/>
      <c r="E293" s="2"/>
    </row>
    <row r="294" ht="15">
      <c r="A294" s="2"/>
      <c r="B294" s="2"/>
      <c r="C294" s="2"/>
      <c r="D294" s="2"/>
      <c r="E294" s="2"/>
    </row>
    <row r="295" ht="15">
      <c r="A295" s="2"/>
      <c r="B295" s="2"/>
      <c r="C295" s="2"/>
      <c r="D295" s="2"/>
      <c r="E295" s="2"/>
    </row>
    <row r="296" ht="15">
      <c r="A296" s="2"/>
      <c r="B296" s="2"/>
      <c r="C296" s="2"/>
      <c r="D296" s="2"/>
      <c r="E296" s="2"/>
    </row>
    <row r="297" ht="15">
      <c r="A297" s="2"/>
      <c r="B297" s="2"/>
      <c r="C297" s="2"/>
      <c r="D297" s="2"/>
      <c r="E297" s="2"/>
    </row>
    <row r="298" ht="15">
      <c r="A298" s="2"/>
      <c r="B298" s="2"/>
      <c r="C298" s="2"/>
      <c r="D298" s="2"/>
      <c r="E298" s="2"/>
    </row>
    <row r="299" ht="15">
      <c r="A299" s="2"/>
      <c r="B299" s="2"/>
      <c r="C299" s="2"/>
      <c r="D299" s="2"/>
      <c r="E299" s="2"/>
    </row>
    <row r="300" ht="15">
      <c r="A300" s="2"/>
      <c r="B300" s="2"/>
      <c r="C300" s="2"/>
      <c r="D300" s="2"/>
      <c r="E300" s="2"/>
    </row>
    <row r="301" ht="15">
      <c r="A301" s="2"/>
      <c r="B301" s="2"/>
      <c r="C301" s="2"/>
      <c r="D301" s="2"/>
      <c r="E301" s="2"/>
    </row>
    <row r="302" ht="15">
      <c r="A302" s="2"/>
      <c r="B302" s="2"/>
      <c r="C302" s="2"/>
      <c r="D302" s="2"/>
      <c r="E302" s="2"/>
    </row>
    <row r="303" ht="15">
      <c r="A303" s="2"/>
      <c r="B303" s="2"/>
      <c r="C303" s="2"/>
      <c r="D303" s="2"/>
      <c r="E303" s="2"/>
    </row>
    <row r="304" ht="15">
      <c r="A304" s="2"/>
      <c r="B304" s="2"/>
      <c r="C304" s="2"/>
      <c r="D304" s="2"/>
      <c r="E304" s="2"/>
    </row>
    <row r="305" ht="15">
      <c r="A305" s="2"/>
      <c r="B305" s="2"/>
      <c r="C305" s="2"/>
      <c r="D305" s="2"/>
      <c r="E305" s="2"/>
    </row>
    <row r="306" ht="15">
      <c r="A306" s="2"/>
      <c r="B306" s="2"/>
      <c r="C306" s="2"/>
      <c r="D306" s="2"/>
      <c r="E306" s="2"/>
    </row>
    <row r="307" ht="15">
      <c r="A307" s="2"/>
      <c r="B307" s="2"/>
      <c r="C307" s="2"/>
      <c r="D307" s="2"/>
      <c r="E307" s="2"/>
    </row>
    <row r="308" ht="15">
      <c r="A308" s="2"/>
      <c r="B308" s="2"/>
      <c r="C308" s="2"/>
      <c r="D308" s="2"/>
      <c r="E308" s="2"/>
    </row>
    <row r="309" ht="15">
      <c r="A309" s="2"/>
      <c r="B309" s="2"/>
      <c r="C309" s="2"/>
      <c r="D309" s="2"/>
      <c r="E309" s="2"/>
    </row>
    <row r="310" ht="15">
      <c r="A310" s="2"/>
      <c r="B310" s="2"/>
      <c r="C310" s="2"/>
      <c r="D310" s="2"/>
      <c r="E310" s="2"/>
    </row>
    <row r="311" ht="15">
      <c r="A311" s="2"/>
      <c r="B311" s="2"/>
      <c r="C311" s="2"/>
      <c r="D311" s="2"/>
      <c r="E311" s="2"/>
    </row>
    <row r="312" ht="15">
      <c r="A312" s="2"/>
      <c r="B312" s="2"/>
      <c r="C312" s="2"/>
      <c r="D312" s="2"/>
      <c r="E312" s="2"/>
    </row>
    <row r="313" ht="15">
      <c r="A313" s="2"/>
      <c r="B313" s="2"/>
      <c r="C313" s="2"/>
      <c r="D313" s="2"/>
      <c r="E313" s="2"/>
    </row>
    <row r="314" ht="15">
      <c r="A314" s="2"/>
      <c r="B314" s="2"/>
      <c r="C314" s="2"/>
      <c r="D314" s="2"/>
      <c r="E314" s="2"/>
    </row>
    <row r="315" ht="15">
      <c r="A315" s="2"/>
      <c r="B315" s="2"/>
      <c r="C315" s="2"/>
      <c r="D315" s="2"/>
      <c r="E315" s="2"/>
    </row>
    <row r="316" ht="15">
      <c r="A316" s="2"/>
      <c r="B316" s="2"/>
      <c r="C316" s="2"/>
      <c r="D316" s="2"/>
      <c r="E316" s="2"/>
    </row>
    <row r="317" ht="15">
      <c r="A317" s="2"/>
      <c r="B317" s="2"/>
      <c r="C317" s="2"/>
      <c r="D317" s="2"/>
      <c r="E317" s="2"/>
    </row>
    <row r="318" ht="15">
      <c r="A318" s="2"/>
      <c r="B318" s="2"/>
      <c r="C318" s="2"/>
      <c r="D318" s="2"/>
      <c r="E318" s="2"/>
    </row>
    <row r="319" ht="15">
      <c r="A319" s="2"/>
      <c r="B319" s="2"/>
      <c r="C319" s="2"/>
      <c r="D319" s="2"/>
      <c r="E319" s="2"/>
    </row>
    <row r="320" ht="15">
      <c r="A320" s="2"/>
      <c r="B320" s="2"/>
      <c r="C320" s="2"/>
      <c r="D320" s="2"/>
      <c r="E320" s="2"/>
    </row>
    <row r="321" ht="15">
      <c r="A321" s="2"/>
      <c r="B321" s="2"/>
      <c r="C321" s="2"/>
      <c r="D321" s="2"/>
      <c r="E321" s="2"/>
    </row>
    <row r="322" ht="15">
      <c r="A322" s="2"/>
      <c r="B322" s="2"/>
      <c r="C322" s="2"/>
      <c r="D322" s="2"/>
      <c r="E322" s="2"/>
    </row>
    <row r="323" ht="15">
      <c r="A323" s="2"/>
      <c r="B323" s="2"/>
      <c r="C323" s="2"/>
      <c r="D323" s="2"/>
      <c r="E323" s="2"/>
    </row>
    <row r="324" ht="15">
      <c r="A324" s="2"/>
      <c r="B324" s="2"/>
      <c r="C324" s="2"/>
      <c r="D324" s="2"/>
      <c r="E324" s="2"/>
    </row>
    <row r="325" ht="15">
      <c r="A325" s="2"/>
      <c r="B325" s="2"/>
      <c r="C325" s="2"/>
      <c r="D325" s="2"/>
      <c r="E325" s="2"/>
    </row>
    <row r="326" ht="15">
      <c r="A326" s="2"/>
      <c r="B326" s="2"/>
      <c r="C326" s="2"/>
      <c r="D326" s="2"/>
      <c r="E326" s="2"/>
    </row>
    <row r="327" ht="15">
      <c r="A327" s="2"/>
      <c r="B327" s="2"/>
      <c r="C327" s="2"/>
      <c r="D327" s="2"/>
      <c r="E327" s="2"/>
    </row>
    <row r="328" ht="15">
      <c r="A328" s="2"/>
      <c r="B328" s="2"/>
      <c r="C328" s="2"/>
      <c r="D328" s="2"/>
      <c r="E328" s="2"/>
    </row>
    <row r="329" ht="15">
      <c r="A329" s="2"/>
      <c r="B329" s="2"/>
      <c r="C329" s="2"/>
      <c r="D329" s="2"/>
      <c r="E329" s="2"/>
    </row>
    <row r="330" ht="15">
      <c r="A330" s="2"/>
      <c r="B330" s="2"/>
      <c r="C330" s="2"/>
      <c r="D330" s="2"/>
      <c r="E330" s="2"/>
    </row>
    <row r="331" ht="15">
      <c r="A331" s="2"/>
      <c r="B331" s="2"/>
      <c r="C331" s="2"/>
      <c r="D331" s="2"/>
      <c r="E331" s="2"/>
    </row>
    <row r="332" ht="15">
      <c r="A332" s="2"/>
      <c r="B332" s="2"/>
      <c r="C332" s="2"/>
      <c r="D332" s="2"/>
      <c r="E332" s="2"/>
    </row>
    <row r="333" ht="15">
      <c r="A333" s="2"/>
      <c r="B333" s="2"/>
      <c r="C333" s="2"/>
      <c r="D333" s="2"/>
      <c r="E333" s="2"/>
    </row>
  </sheetData>
  <mergeCells count="5">
    <mergeCell ref="A1:E1"/>
    <mergeCell ref="A2:E2"/>
    <mergeCell ref="A3:E3"/>
    <mergeCell ref="A4:E4"/>
    <mergeCell ref="A5:E5"/>
  </mergeCells>
  <printOptions headings="0" gridLines="0"/>
  <pageMargins left="0.25" right="0.25" top="0.75" bottom="0.75" header="0.29999999999999999" footer="0.29999999999999999"/>
  <pageSetup paperSize="9" scale="62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J5" activeCellId="0" sqref="J5"/>
    </sheetView>
  </sheetViews>
  <sheetFormatPr defaultColWidth="8.85546875" defaultRowHeight="15" outlineLevelCol="1"/>
  <cols>
    <col customWidth="1" min="1" max="1" style="40" width="64"/>
    <col customWidth="1" hidden="1" min="2" max="3" outlineLevel="1" style="40" width="16.140625"/>
    <col customWidth="1" hidden="1" min="4" max="4" outlineLevel="1" style="40" width="16.28515625"/>
    <col customWidth="1" hidden="1" min="5" max="6" outlineLevel="1" style="40" width="14.85546875"/>
    <col customWidth="1" hidden="1" min="7" max="7" outlineLevel="1" style="40" width="15.7109375"/>
    <col customWidth="1" hidden="1" min="8" max="8" outlineLevel="1" style="40" width="9.140625"/>
    <col collapsed="1" customWidth="1" min="9" max="9" style="40" width="15.7109375"/>
    <col customWidth="1" min="10" max="15" style="40" width="15.7109375"/>
    <col customWidth="1" min="16" max="16" style="40" width="8.42578125"/>
    <col customWidth="1" min="17" max="23" style="40" width="15.7109375"/>
    <col min="24" max="25" style="41" width="8.85546875"/>
    <col min="26" max="27" style="40" width="8.85546875"/>
    <col min="28" max="16384" style="39" width="8.85546875"/>
  </cols>
  <sheetData>
    <row r="1" ht="32.450000000000003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ht="27.600000000000001" customHeight="1">
      <c r="A2" s="43" t="s">
        <v>40</v>
      </c>
      <c r="B2" s="44" t="s">
        <v>41</v>
      </c>
      <c r="C2" s="44" t="s">
        <v>42</v>
      </c>
      <c r="D2" s="44" t="s">
        <v>43</v>
      </c>
      <c r="E2" s="44" t="s">
        <v>44</v>
      </c>
      <c r="F2" s="45" t="s">
        <v>45</v>
      </c>
      <c r="G2" s="46" t="s">
        <v>46</v>
      </c>
      <c r="H2" s="47"/>
      <c r="I2" s="48" t="s">
        <v>47</v>
      </c>
      <c r="J2" s="49" t="s">
        <v>48</v>
      </c>
      <c r="K2" s="50" t="s">
        <v>49</v>
      </c>
      <c r="L2" s="51" t="s">
        <v>50</v>
      </c>
      <c r="M2" s="52" t="s">
        <v>51</v>
      </c>
      <c r="N2" s="52" t="s">
        <v>52</v>
      </c>
      <c r="O2" s="53" t="s">
        <v>9</v>
      </c>
      <c r="P2" s="47"/>
      <c r="Q2" s="48" t="s">
        <v>53</v>
      </c>
      <c r="R2" s="49" t="s">
        <v>54</v>
      </c>
      <c r="S2" s="50" t="s">
        <v>49</v>
      </c>
      <c r="T2" s="51" t="s">
        <v>50</v>
      </c>
      <c r="U2" s="52" t="s">
        <v>51</v>
      </c>
      <c r="V2" s="52" t="s">
        <v>52</v>
      </c>
      <c r="W2" s="53" t="s">
        <v>9</v>
      </c>
    </row>
    <row r="3" s="54" customFormat="1" ht="26.449999999999999" customHeight="1">
      <c r="A3" s="55" t="s">
        <v>55</v>
      </c>
      <c r="B3" s="56">
        <f>('Тариф для ОСС_жилье '!E8*'Достаточность по ОСС'!Z5+'Тариф для ОСС_нежилье НП-1'!E9*'Достаточность по ОСС'!Z6)*12</f>
        <v>2380430.8270907998</v>
      </c>
      <c r="C3" s="56">
        <f>(Разъяснения!M11+Разъяснения!N11)*12</f>
        <v>2164028.0246279999</v>
      </c>
      <c r="D3" s="56">
        <f t="shared" ref="D3:D15" si="6">B3-C3</f>
        <v>216402.80246279994</v>
      </c>
      <c r="E3" s="57">
        <f t="shared" ref="E3:E15" si="7">B3/C3*100-100</f>
        <v>10.000000000000014</v>
      </c>
      <c r="F3" s="57">
        <f>B3/Z8/12</f>
        <v>7.8777971943266296</v>
      </c>
      <c r="G3" s="58">
        <f>C3/Z8/12</f>
        <v>7.161633813024209</v>
      </c>
      <c r="H3" s="59"/>
      <c r="I3" s="60">
        <f>('Тариф для ОСС_жилье '!E8*'Достаточность по ОСС'!Z5)*12</f>
        <v>2221207.9413179476</v>
      </c>
      <c r="J3" s="56">
        <f>(Разъяснения!M11+Разъяснения!N11)*12/Z8*Z5</f>
        <v>2019279.9466526799</v>
      </c>
      <c r="K3" s="61">
        <f t="shared" ref="K3:K14" si="8">(I3-J3)/I3*100</f>
        <v>9.0909090909090775</v>
      </c>
      <c r="L3" s="62">
        <f t="shared" ref="L3:L14" si="9">I3/$Z$5/12</f>
        <v>7.8777971943266287</v>
      </c>
      <c r="M3" s="57">
        <f t="shared" ref="M3:M14" si="10">J3/$Z$5/12</f>
        <v>7.161633813024209</v>
      </c>
      <c r="N3" s="57">
        <f t="shared" ref="N3:N15" si="11">L3-M3</f>
        <v>0.71616338130241974</v>
      </c>
      <c r="O3" s="58">
        <f t="shared" ref="O3:O15" si="12">L3/M3*100-100</f>
        <v>9.9999999999999858</v>
      </c>
      <c r="P3" s="59"/>
      <c r="Q3" s="60">
        <f>('Тариф для ОСС_нежилье НП-1'!E9*'Достаточность по ОСС'!Z6)*12</f>
        <v>159222.88577285208</v>
      </c>
      <c r="R3" s="56">
        <f>(Разъяснения!M11+Разъяснения!N11)*12/Z8*Z6</f>
        <v>144748.07797532011</v>
      </c>
      <c r="S3" s="61">
        <f t="shared" ref="S3:S15" si="13">(Q3-R3)/Q3*100</f>
        <v>9.0909090909090704</v>
      </c>
      <c r="T3" s="62">
        <f t="shared" ref="T3:U14" si="14">Q3/$Z$6/12</f>
        <v>7.8777971943266287</v>
      </c>
      <c r="U3" s="57">
        <f>R3/$Z$6/12</f>
        <v>7.1616338130242099</v>
      </c>
      <c r="V3" s="57">
        <f t="shared" ref="V3:V15" si="15">T3-U3</f>
        <v>0.71616338130241886</v>
      </c>
      <c r="W3" s="58">
        <f t="shared" ref="W3:W15" si="16">T3/U3*100-100</f>
        <v>9.9999999999999716</v>
      </c>
      <c r="X3" s="63"/>
      <c r="Y3" s="63"/>
      <c r="Z3" s="64"/>
      <c r="AA3" s="64"/>
    </row>
    <row r="4" s="54" customFormat="1" ht="26.449999999999999" customHeight="1">
      <c r="A4" s="55" t="s">
        <v>56</v>
      </c>
      <c r="B4" s="56">
        <f>('Тариф для ОСС_жилье '!E9*'Достаточность по ОСС'!Z5+'Тариф для ОСС_нежилье НП-1'!E10*'Достаточность по ОСС'!Z6)*12</f>
        <v>1912733.568</v>
      </c>
      <c r="C4" s="56">
        <v>1912733.568</v>
      </c>
      <c r="D4" s="56">
        <f t="shared" si="6"/>
        <v>0</v>
      </c>
      <c r="E4" s="57">
        <f t="shared" si="7"/>
        <v>0</v>
      </c>
      <c r="F4" s="57"/>
      <c r="G4" s="58"/>
      <c r="H4" s="59"/>
      <c r="I4" s="60">
        <f>('Тариф для ОСС_жилье '!E9*'Достаточность по ОСС'!Z5)*12</f>
        <v>1784794.1400000001</v>
      </c>
      <c r="J4" s="56">
        <v>1784794.1400000001</v>
      </c>
      <c r="K4" s="61">
        <f t="shared" si="8"/>
        <v>0</v>
      </c>
      <c r="L4" s="62">
        <f t="shared" si="9"/>
        <v>6.330000000000001</v>
      </c>
      <c r="M4" s="57">
        <f t="shared" si="10"/>
        <v>6.330000000000001</v>
      </c>
      <c r="N4" s="57">
        <f t="shared" si="11"/>
        <v>0</v>
      </c>
      <c r="O4" s="58">
        <f t="shared" si="12"/>
        <v>0</v>
      </c>
      <c r="P4" s="59"/>
      <c r="Q4" s="60">
        <f>('Тариф для ОСС_нежилье НП-1'!E10*'Достаточность по ОСС'!Z6)*12</f>
        <v>127939.42800000001</v>
      </c>
      <c r="R4" s="56">
        <v>127939.42800000001</v>
      </c>
      <c r="S4" s="61">
        <f t="shared" si="13"/>
        <v>0</v>
      </c>
      <c r="T4" s="62">
        <f t="shared" si="14"/>
        <v>6.330000000000001</v>
      </c>
      <c r="U4" s="57">
        <f t="shared" si="14"/>
        <v>6.330000000000001</v>
      </c>
      <c r="V4" s="57">
        <f t="shared" si="15"/>
        <v>0</v>
      </c>
      <c r="W4" s="58">
        <f t="shared" si="16"/>
        <v>0</v>
      </c>
      <c r="X4" s="63"/>
      <c r="Y4" s="64" t="s">
        <v>57</v>
      </c>
      <c r="Z4" s="64"/>
      <c r="AA4" s="64"/>
    </row>
    <row r="5" s="54" customFormat="1" ht="26.449999999999999" customHeight="1">
      <c r="A5" s="55" t="s">
        <v>36</v>
      </c>
      <c r="B5" s="56">
        <f>('Тариф для ОСС_жилье '!E10*'Достаточность по ОСС'!Z5)*12</f>
        <v>490606.91999999993</v>
      </c>
      <c r="C5" s="56">
        <f>36995.8*12</f>
        <v>443949.60000000003</v>
      </c>
      <c r="D5" s="56">
        <f t="shared" si="6"/>
        <v>46657.319999999891</v>
      </c>
      <c r="E5" s="57">
        <f t="shared" si="7"/>
        <v>10.509598386843891</v>
      </c>
      <c r="F5" s="57"/>
      <c r="G5" s="58"/>
      <c r="H5" s="59"/>
      <c r="I5" s="60">
        <f>('Тариф для ОСС_жилье '!E10*'Достаточность по ОСС'!Z5)*12</f>
        <v>490606.91999999993</v>
      </c>
      <c r="J5" s="56">
        <f>36995.8*12</f>
        <v>443949.60000000003</v>
      </c>
      <c r="K5" s="61">
        <f t="shared" si="8"/>
        <v>9.5101226864064419</v>
      </c>
      <c r="L5" s="62">
        <f t="shared" si="9"/>
        <v>1.7399999999999995</v>
      </c>
      <c r="M5" s="57">
        <f t="shared" si="10"/>
        <v>1.5745238652565277</v>
      </c>
      <c r="N5" s="57">
        <f t="shared" si="11"/>
        <v>0.16547613474347189</v>
      </c>
      <c r="O5" s="58">
        <f t="shared" si="12"/>
        <v>10.509598386843891</v>
      </c>
      <c r="P5" s="59"/>
      <c r="Q5" s="60">
        <v>0</v>
      </c>
      <c r="R5" s="56">
        <v>0</v>
      </c>
      <c r="S5" s="61">
        <v>0</v>
      </c>
      <c r="T5" s="62">
        <f t="shared" si="14"/>
        <v>0</v>
      </c>
      <c r="U5" s="57">
        <f t="shared" si="14"/>
        <v>0</v>
      </c>
      <c r="V5" s="57">
        <f t="shared" si="15"/>
        <v>0</v>
      </c>
      <c r="W5" s="58">
        <v>0</v>
      </c>
      <c r="X5" s="63"/>
      <c r="Y5" s="64" t="s">
        <v>58</v>
      </c>
      <c r="Z5" s="64">
        <v>23496.5</v>
      </c>
      <c r="AA5" s="64"/>
    </row>
    <row r="6" s="54" customFormat="1" ht="26.449999999999999" customHeight="1">
      <c r="A6" s="55" t="s">
        <v>59</v>
      </c>
      <c r="B6" s="56">
        <f>('Тариф для ОСС_жилье '!E11*'Достаточность по ОСС'!Z5)*12</f>
        <v>984990.48840719985</v>
      </c>
      <c r="C6" s="56">
        <f>(Разъяснения!M18+Разъяснения!N18)*12</f>
        <v>895445.89855199982</v>
      </c>
      <c r="D6" s="56">
        <f t="shared" si="6"/>
        <v>89544.589855200029</v>
      </c>
      <c r="E6" s="57">
        <f t="shared" si="7"/>
        <v>10.000000000000014</v>
      </c>
      <c r="F6" s="57">
        <f>B6/(Z5+Z7)/12</f>
        <v>3.4933943651437445</v>
      </c>
      <c r="G6" s="58">
        <f>C6/(Z5+Z7)/12</f>
        <v>3.1758130592215856</v>
      </c>
      <c r="H6" s="59"/>
      <c r="I6" s="60">
        <f>('Тариф для ОСС_жилье '!E11*'Достаточность по ОСС'!Z5)*12</f>
        <v>984990.48840719985</v>
      </c>
      <c r="J6" s="56">
        <f>(Разъяснения!M18+Разъяснения!N18)*12</f>
        <v>895445.89855199982</v>
      </c>
      <c r="K6" s="61">
        <f t="shared" si="8"/>
        <v>9.0909090909090953</v>
      </c>
      <c r="L6" s="62">
        <f t="shared" si="9"/>
        <v>3.4933943651437445</v>
      </c>
      <c r="M6" s="57">
        <f t="shared" si="10"/>
        <v>3.1758130592215856</v>
      </c>
      <c r="N6" s="57">
        <f t="shared" si="11"/>
        <v>0.31758130592215883</v>
      </c>
      <c r="O6" s="58">
        <f t="shared" si="12"/>
        <v>10.000000000000014</v>
      </c>
      <c r="P6" s="59"/>
      <c r="Q6" s="60">
        <v>0</v>
      </c>
      <c r="R6" s="56">
        <v>0</v>
      </c>
      <c r="S6" s="61">
        <v>0</v>
      </c>
      <c r="T6" s="62">
        <f t="shared" si="14"/>
        <v>0</v>
      </c>
      <c r="U6" s="57">
        <f t="shared" si="14"/>
        <v>0</v>
      </c>
      <c r="V6" s="57">
        <f t="shared" si="15"/>
        <v>0</v>
      </c>
      <c r="W6" s="58">
        <v>0</v>
      </c>
      <c r="X6" s="63"/>
      <c r="Y6" s="64" t="s">
        <v>60</v>
      </c>
      <c r="Z6" s="64">
        <v>1684.3</v>
      </c>
      <c r="AA6" s="64"/>
    </row>
    <row r="7" s="54" customFormat="1" ht="26.449999999999999" customHeight="1">
      <c r="A7" s="55" t="s">
        <v>17</v>
      </c>
      <c r="B7" s="56">
        <f>('Тариф для ОСС_жилье '!E12*23269.7+'Тариф для ОСС_нежилье НП-1'!E13*Z6+'Тариф для ОСС_нежилье НП-2'!E12*226.8)*12</f>
        <v>1078993.4122571999</v>
      </c>
      <c r="C7" s="56">
        <f>(Разъяснения!M20+Разъяснения!N20)*12</f>
        <v>980903.10205199989</v>
      </c>
      <c r="D7" s="56">
        <f t="shared" si="6"/>
        <v>98090.310205199989</v>
      </c>
      <c r="E7" s="57">
        <f t="shared" si="7"/>
        <v>10.000000000000014</v>
      </c>
      <c r="F7" s="57">
        <f>B7/Z8/12</f>
        <v>3.5708205334262608</v>
      </c>
      <c r="G7" s="58">
        <f>C7/Z8/12</f>
        <v>3.2462004849329644</v>
      </c>
      <c r="H7" s="59"/>
      <c r="I7" s="60">
        <f>('Тариф для ОСС_жилье '!E12*23269.7+'Тариф для ОСС_нежилье НП-2'!E12*226.8)*12</f>
        <v>933753.06176466029</v>
      </c>
      <c r="J7" s="56">
        <f>(Разъяснения!M20+Разъяснения!N20)*12/Z8*Z5</f>
        <v>915292.19633072871</v>
      </c>
      <c r="K7" s="61">
        <f t="shared" si="8"/>
        <v>1.9770607658349391</v>
      </c>
      <c r="L7" s="62">
        <f t="shared" si="9"/>
        <v>3.3116742981744101</v>
      </c>
      <c r="M7" s="57">
        <f t="shared" si="10"/>
        <v>3.2462004849329644</v>
      </c>
      <c r="N7" s="57">
        <f t="shared" si="11"/>
        <v>0.065473813241445633</v>
      </c>
      <c r="O7" s="58">
        <f t="shared" si="12"/>
        <v>2.0169368326244239</v>
      </c>
      <c r="P7" s="59"/>
      <c r="Q7" s="60">
        <f>('Тариф для ОСС_нежилье НП-1'!E13*Z6)*12</f>
        <v>145240.35049253961</v>
      </c>
      <c r="R7" s="56">
        <f>(Разъяснения!M20+Разъяснения!N20)*12/Z8*Z6</f>
        <v>65610.905721271105</v>
      </c>
      <c r="S7" s="61">
        <f t="shared" si="13"/>
        <v>54.825979489328432</v>
      </c>
      <c r="T7" s="62">
        <f t="shared" si="14"/>
        <v>7.18598975303982</v>
      </c>
      <c r="U7" s="57">
        <f t="shared" si="14"/>
        <v>3.2462004849329644</v>
      </c>
      <c r="V7" s="57">
        <f t="shared" si="15"/>
        <v>3.9397892681068556</v>
      </c>
      <c r="W7" s="58">
        <f t="shared" si="16"/>
        <v>121.3661721262485</v>
      </c>
      <c r="X7" s="63"/>
      <c r="Y7" s="64" t="s">
        <v>61</v>
      </c>
      <c r="Z7" s="64">
        <v>0</v>
      </c>
      <c r="AA7" s="64"/>
    </row>
    <row r="8" s="64" customFormat="1" ht="26.449999999999999" customHeight="1">
      <c r="A8" s="55" t="s">
        <v>62</v>
      </c>
      <c r="B8" s="56">
        <f>(('Тариф для ОСС_жилье '!E13+'Тариф для ОСС_жилье '!E16)*'Достаточность по ОСС'!Z5+('Тариф для ОСС_нежилье НП-1'!E14+'Тариф для ОСС_нежилье НП-1'!E17)*'Достаточность по ОСС'!Z6)*12</f>
        <v>365625.21600000001</v>
      </c>
      <c r="C8" s="65">
        <f>('Слаб., тепл.системы'!D6+'Слаб., тепл.системы'!D7)*12</f>
        <v>362576.16000000003</v>
      </c>
      <c r="D8" s="56">
        <f t="shared" si="6"/>
        <v>3049.0559999999823</v>
      </c>
      <c r="E8" s="57">
        <f t="shared" si="7"/>
        <v>0.84094221749163012</v>
      </c>
      <c r="F8" s="57">
        <f>B8/Z8/12</f>
        <v>1.2100000000000002</v>
      </c>
      <c r="G8" s="58">
        <f>C8/Z8/12</f>
        <v>1.1999094548227223</v>
      </c>
      <c r="H8" s="59"/>
      <c r="I8" s="60">
        <f>(('Тариф для ОСС_жилье '!E13+'Тариф для ОСС_жилье '!E16)*'Достаточность по ОСС'!Z5)*12</f>
        <v>341169.17999999999</v>
      </c>
      <c r="J8" s="65">
        <f>('Слаб., тепл.системы'!D6+'Слаб., тепл.системы'!D7)*12/Z8*Z5</f>
        <v>338324.07006290508</v>
      </c>
      <c r="K8" s="61">
        <f t="shared" si="8"/>
        <v>0.83392935349403741</v>
      </c>
      <c r="L8" s="62">
        <f t="shared" si="9"/>
        <v>1.21</v>
      </c>
      <c r="M8" s="57">
        <f t="shared" si="10"/>
        <v>1.1999094548227223</v>
      </c>
      <c r="N8" s="57">
        <f t="shared" si="11"/>
        <v>0.010090545177277699</v>
      </c>
      <c r="O8" s="58">
        <f t="shared" si="12"/>
        <v>0.8409422174916017</v>
      </c>
      <c r="P8" s="59"/>
      <c r="Q8" s="60">
        <f>(('Тариф для ОСС_нежилье НП-1'!E14+'Тариф для ОСС_нежилье НП-1'!E17)*'Достаточность по ОСС'!Z6)*12</f>
        <v>24456.036</v>
      </c>
      <c r="R8" s="65">
        <f>('Слаб., тепл.системы'!D6+'Слаб., тепл.системы'!D7)*12/Z8*Z6</f>
        <v>24252.08993709493</v>
      </c>
      <c r="S8" s="61">
        <f t="shared" si="13"/>
        <v>0.83392935349404129</v>
      </c>
      <c r="T8" s="62">
        <f t="shared" si="14"/>
        <v>1.21</v>
      </c>
      <c r="U8" s="57">
        <f t="shared" si="14"/>
        <v>1.1999094548227223</v>
      </c>
      <c r="V8" s="57">
        <f t="shared" si="15"/>
        <v>0.010090545177277699</v>
      </c>
      <c r="W8" s="58">
        <f t="shared" si="16"/>
        <v>0.8409422174916017</v>
      </c>
      <c r="X8" s="63"/>
      <c r="Z8" s="64">
        <f>SUM(Z5:Z7)</f>
        <v>25180.799999999999</v>
      </c>
    </row>
    <row r="9" s="64" customFormat="1" ht="26.449999999999999" customHeight="1">
      <c r="A9" s="55" t="s">
        <v>63</v>
      </c>
      <c r="B9" s="56">
        <f>(('Тариф для ОСС_жилье '!E14+'Тариф для ОСС_жилье '!E15+'Тариф для ОСС_жилье '!E18+'Тариф для ОСС_жилье '!E26)*'Достаточность по ОСС'!Z5+'Тариф для ОСС_нежилье НП-1'!E15*'Достаточность по ОСС'!Z6)*12</f>
        <v>369789.30000000005</v>
      </c>
      <c r="C9" s="65">
        <f>('Слаб., тепл.системы'!D9+'Слаб., тепл.системы'!D10+'Слаб., тепл.системы'!D11+'Слаб., тепл.системы'!D12)*12</f>
        <v>280222.80000000005</v>
      </c>
      <c r="D9" s="56">
        <f t="shared" si="6"/>
        <v>89566.5</v>
      </c>
      <c r="E9" s="57">
        <f t="shared" si="7"/>
        <v>31.962602614776529</v>
      </c>
      <c r="F9" s="57">
        <f>B9/Z8/12</f>
        <v>1.2237806185665272</v>
      </c>
      <c r="G9" s="58">
        <f>C9/Z8/12</f>
        <v>0.92736926547210585</v>
      </c>
      <c r="H9" s="59"/>
      <c r="I9" s="60">
        <f>(('Тариф для ОСС_жилье '!E14+'Тариф для ОСС_жилье '!E15+'Тариф для ОСС_жилье '!E18+'Тариф для ОСС_жилье '!E26)*'Достаточность по ОСС'!Z5)*12</f>
        <v>363725.82000000001</v>
      </c>
      <c r="J9" s="65">
        <f>('Слаб., тепл.системы'!D9+'Слаб., тепл.системы'!D10+'Слаб., тепл.системы'!D11+'Слаб., тепл.системы'!D12)*12/Z8*Z5</f>
        <v>261479.18335398403</v>
      </c>
      <c r="K9" s="61">
        <f t="shared" si="8"/>
        <v>28.110909653325127</v>
      </c>
      <c r="L9" s="62">
        <f t="shared" si="9"/>
        <v>1.29</v>
      </c>
      <c r="M9" s="57">
        <f t="shared" si="10"/>
        <v>0.92736926547210585</v>
      </c>
      <c r="N9" s="57">
        <f t="shared" si="11"/>
        <v>0.36263073452789418</v>
      </c>
      <c r="O9" s="58">
        <f t="shared" si="12"/>
        <v>39.103165052950715</v>
      </c>
      <c r="P9" s="59"/>
      <c r="Q9" s="60">
        <f>('Тариф для ОСС_нежилье НП-1'!E15*'Достаточность по ОСС'!Z6)*12</f>
        <v>6063.4799999999996</v>
      </c>
      <c r="R9" s="65">
        <f>('Слаб., тепл.системы'!D9+'Слаб., тепл.системы'!D10+'Слаб., тепл.системы'!D11+'Слаб., тепл.системы'!D12)*12/Z8*Z6</f>
        <v>18743.616646016017</v>
      </c>
      <c r="S9" s="61">
        <f t="shared" si="13"/>
        <v>-209.123088490702</v>
      </c>
      <c r="T9" s="62">
        <f t="shared" si="14"/>
        <v>0.29999999999999999</v>
      </c>
      <c r="U9" s="57">
        <f t="shared" si="14"/>
        <v>0.92736926547210607</v>
      </c>
      <c r="V9" s="57">
        <f t="shared" si="15"/>
        <v>-0.62736926547210614</v>
      </c>
      <c r="W9" s="58">
        <f t="shared" si="16"/>
        <v>-67.650426731871931</v>
      </c>
      <c r="X9" s="63"/>
    </row>
    <row r="10" s="64" customFormat="1" ht="26.449999999999999" customHeight="1">
      <c r="A10" s="55" t="s">
        <v>64</v>
      </c>
      <c r="B10" s="56">
        <f>('Тариф для ОСС_жилье '!E17*'Достаточность по ОСС'!Z5)*12</f>
        <v>1244548.1625600001</v>
      </c>
      <c r="C10" s="65">
        <f>((Лифты_расходы!L4+Лифты_расходы!M4+Лифты_расходы!N4)*95%*1%+(Лифты_расходы!L4+Лифты_расходы!M4+Лифты_расходы!N4))*12</f>
        <v>782362.49999999988</v>
      </c>
      <c r="D10" s="56">
        <f t="shared" si="6"/>
        <v>462185.6625600002</v>
      </c>
      <c r="E10" s="57">
        <f t="shared" si="7"/>
        <v>59.075641094761096</v>
      </c>
      <c r="F10" s="57">
        <f>B10/Z5/12</f>
        <v>4.4139487532185653</v>
      </c>
      <c r="G10" s="58">
        <f>C10/Z5/12</f>
        <v>2.7747483667780304</v>
      </c>
      <c r="H10" s="59"/>
      <c r="I10" s="60">
        <f>('Тариф для ОСС_жилье '!E17*'Достаточность по ОСС'!Z5)*12</f>
        <v>1244548.1625600001</v>
      </c>
      <c r="J10" s="65">
        <f>((Лифты_расходы!L4+Лифты_расходы!M4+Лифты_расходы!N4)*95%*1%+(Лифты_расходы!L4+Лифты_расходы!M4+Лифты_расходы!N4))*12</f>
        <v>782362.49999999988</v>
      </c>
      <c r="K10" s="61">
        <f t="shared" si="8"/>
        <v>37.136824147431746</v>
      </c>
      <c r="L10" s="62">
        <f t="shared" si="9"/>
        <v>4.4139487532185653</v>
      </c>
      <c r="M10" s="57">
        <f t="shared" si="10"/>
        <v>2.7747483667780304</v>
      </c>
      <c r="N10" s="57">
        <f t="shared" si="11"/>
        <v>1.6392003864405349</v>
      </c>
      <c r="O10" s="58">
        <f t="shared" si="12"/>
        <v>59.075641094761124</v>
      </c>
      <c r="P10" s="59"/>
      <c r="Q10" s="60">
        <v>0</v>
      </c>
      <c r="R10" s="65">
        <v>0</v>
      </c>
      <c r="S10" s="61">
        <v>0</v>
      </c>
      <c r="T10" s="62">
        <f t="shared" si="14"/>
        <v>0</v>
      </c>
      <c r="U10" s="57">
        <f t="shared" si="14"/>
        <v>0</v>
      </c>
      <c r="V10" s="57">
        <f t="shared" si="15"/>
        <v>0</v>
      </c>
      <c r="W10" s="58">
        <v>0</v>
      </c>
      <c r="X10" s="63"/>
      <c r="Y10" s="63"/>
    </row>
    <row r="11" s="64" customFormat="1" ht="26.449999999999999" customHeight="1">
      <c r="A11" s="55" t="s">
        <v>65</v>
      </c>
      <c r="B11" s="56">
        <v>0</v>
      </c>
      <c r="C11" s="65">
        <v>0</v>
      </c>
      <c r="D11" s="56">
        <f t="shared" si="6"/>
        <v>0</v>
      </c>
      <c r="E11" s="57">
        <v>0</v>
      </c>
      <c r="F11" s="57"/>
      <c r="G11" s="58"/>
      <c r="H11" s="59"/>
      <c r="I11" s="60">
        <v>0</v>
      </c>
      <c r="J11" s="65">
        <v>0</v>
      </c>
      <c r="K11" s="61">
        <v>0</v>
      </c>
      <c r="L11" s="62">
        <f t="shared" si="9"/>
        <v>0</v>
      </c>
      <c r="M11" s="57">
        <f t="shared" si="10"/>
        <v>0</v>
      </c>
      <c r="N11" s="57">
        <f t="shared" si="11"/>
        <v>0</v>
      </c>
      <c r="O11" s="58">
        <v>0</v>
      </c>
      <c r="P11" s="59"/>
      <c r="Q11" s="60">
        <v>0</v>
      </c>
      <c r="R11" s="65">
        <v>0</v>
      </c>
      <c r="S11" s="61">
        <v>0</v>
      </c>
      <c r="T11" s="62">
        <f t="shared" si="14"/>
        <v>0</v>
      </c>
      <c r="U11" s="57">
        <f t="shared" si="14"/>
        <v>0</v>
      </c>
      <c r="V11" s="57">
        <f t="shared" si="15"/>
        <v>0</v>
      </c>
      <c r="W11" s="58">
        <v>0</v>
      </c>
      <c r="X11" s="63"/>
      <c r="Y11" s="63"/>
    </row>
    <row r="12" s="64" customFormat="1" ht="26.449999999999999" customHeight="1">
      <c r="A12" s="55" t="s">
        <v>66</v>
      </c>
      <c r="B12" s="56">
        <f>('Тариф для ОСС_жилье '!E19*'Достаточность по ОСС'!Z5+'Тариф для ОСС_нежилье НП-1'!E19*'Достаточность по ОСС'!Z6)*12</f>
        <v>2734634.8799999999</v>
      </c>
      <c r="C12" s="65">
        <f>(Управление!C13*95%*1%+Управление!D13)*12</f>
        <v>2849652.6231781822</v>
      </c>
      <c r="D12" s="56">
        <f t="shared" si="6"/>
        <v>-115017.74317818228</v>
      </c>
      <c r="E12" s="57">
        <f t="shared" si="7"/>
        <v>-4.0362022459391653</v>
      </c>
      <c r="F12" s="57">
        <f>B12/Z8/12</f>
        <v>9.0499999999999989</v>
      </c>
      <c r="G12" s="58">
        <f>C12/Z8/12</f>
        <v>9.4306396910151857</v>
      </c>
      <c r="H12" s="59"/>
      <c r="I12" s="60">
        <f>('Тариф для ОСС_жилье '!E19*'Достаточность по ОСС'!Z5)*12</f>
        <v>2551719.8999999999</v>
      </c>
      <c r="J12" s="65">
        <f>(Управление!C13*95%*1%+Управление!D13)*12/Z8*Z5</f>
        <v>2659044.3059992595</v>
      </c>
      <c r="K12" s="61">
        <f t="shared" si="8"/>
        <v>-4.2059634366318797</v>
      </c>
      <c r="L12" s="62">
        <f t="shared" si="9"/>
        <v>9.0499999999999989</v>
      </c>
      <c r="M12" s="57">
        <f t="shared" si="10"/>
        <v>9.4306396910151857</v>
      </c>
      <c r="N12" s="57">
        <f t="shared" si="11"/>
        <v>-0.3806396910151868</v>
      </c>
      <c r="O12" s="58">
        <f t="shared" si="12"/>
        <v>-4.0362022459391795</v>
      </c>
      <c r="P12" s="59"/>
      <c r="Q12" s="60">
        <f>('Тариф для ОСС_нежилье НП-1'!E19*'Достаточность по ОСС'!Z6)*12</f>
        <v>182914.97999999998</v>
      </c>
      <c r="R12" s="65">
        <f>(Управление!C13*95%*1%+Управление!D13)*12/Z8*Z6</f>
        <v>190608.3171789225</v>
      </c>
      <c r="S12" s="61">
        <f t="shared" si="13"/>
        <v>-4.2059634366318832</v>
      </c>
      <c r="T12" s="62">
        <f t="shared" si="14"/>
        <v>9.0499999999999989</v>
      </c>
      <c r="U12" s="57">
        <f t="shared" si="14"/>
        <v>9.4306396910151857</v>
      </c>
      <c r="V12" s="57">
        <f t="shared" si="15"/>
        <v>-0.3806396910151868</v>
      </c>
      <c r="W12" s="58">
        <f t="shared" si="16"/>
        <v>-4.0362022459391795</v>
      </c>
      <c r="X12" s="63"/>
      <c r="Y12" s="63"/>
    </row>
    <row r="13" s="64" customFormat="1" ht="26.449999999999999" customHeight="1">
      <c r="A13" s="55" t="s">
        <v>30</v>
      </c>
      <c r="B13" s="56">
        <f>('Тариф для ОСС_жилье '!E25*'Достаточность по ОСС'!Z5+'Тариф для ОСС_нежилье НП-1'!E25*'Достаточность по ОСС'!Z6)*12</f>
        <v>1934286.6720144004</v>
      </c>
      <c r="C13" s="65">
        <f>(Разъяснения!M16+Разъяснения!N16)*12</f>
        <v>1758442.4291040001</v>
      </c>
      <c r="D13" s="56">
        <f t="shared" si="6"/>
        <v>175844.24291040027</v>
      </c>
      <c r="E13" s="57">
        <f t="shared" si="7"/>
        <v>10.000000000000014</v>
      </c>
      <c r="F13" s="57">
        <f>B13/Z8/12</f>
        <v>6.4013278371298776</v>
      </c>
      <c r="G13" s="58">
        <f>C13/Z8/12</f>
        <v>5.8193889428453431</v>
      </c>
      <c r="H13" s="59"/>
      <c r="I13" s="60">
        <f>('Тариф для ОСС_жилье '!E25*'Достаточность по ОСС'!Z5)*12</f>
        <v>1804905.5943014659</v>
      </c>
      <c r="J13" s="65">
        <f>(Разъяснения!M16+Разъяснения!N16)*12/Z8*Z5</f>
        <v>1640823.2675467872</v>
      </c>
      <c r="K13" s="61">
        <f t="shared" si="8"/>
        <v>9.0909090909090917</v>
      </c>
      <c r="L13" s="62">
        <f t="shared" si="9"/>
        <v>6.4013278371298767</v>
      </c>
      <c r="M13" s="57">
        <f t="shared" si="10"/>
        <v>5.8193889428453431</v>
      </c>
      <c r="N13" s="57">
        <f t="shared" si="11"/>
        <v>0.5819388942845336</v>
      </c>
      <c r="O13" s="58">
        <f t="shared" si="12"/>
        <v>9.9999999999999858</v>
      </c>
      <c r="P13" s="59"/>
      <c r="Q13" s="60">
        <f>('Тариф для ОСС_нежилье НП-1'!E25*'Достаточность по ОСС'!Z6)*12</f>
        <v>129381.07771293423</v>
      </c>
      <c r="R13" s="65">
        <f>(Разъяснения!M16+Разъяснения!N16)*12/Z8*Z6</f>
        <v>117619.16155721294</v>
      </c>
      <c r="S13" s="61">
        <f t="shared" si="13"/>
        <v>9.0909090909090917</v>
      </c>
      <c r="T13" s="62">
        <f t="shared" si="14"/>
        <v>6.4013278371298776</v>
      </c>
      <c r="U13" s="57">
        <f t="shared" si="14"/>
        <v>5.8193889428453431</v>
      </c>
      <c r="V13" s="57">
        <f t="shared" si="15"/>
        <v>0.58193889428453449</v>
      </c>
      <c r="W13" s="58">
        <f t="shared" si="16"/>
        <v>10.000000000000014</v>
      </c>
      <c r="X13" s="63"/>
      <c r="Y13" s="63"/>
    </row>
    <row r="14" s="64" customFormat="1" ht="26.449999999999999" customHeight="1">
      <c r="A14" s="55" t="s">
        <v>32</v>
      </c>
      <c r="B14" s="56">
        <f>('Тариф для ОСС_жилье '!E27*'Достаточность по ОСС'!Z5+'Тариф для ОСС_нежилье НП-1'!E27*'Достаточность по ОСС'!Z6)*12</f>
        <v>60433.919999999998</v>
      </c>
      <c r="C14" s="65">
        <v>60433.919999999998</v>
      </c>
      <c r="D14" s="56">
        <f t="shared" si="6"/>
        <v>0</v>
      </c>
      <c r="E14" s="57">
        <f t="shared" si="7"/>
        <v>0</v>
      </c>
      <c r="F14" s="57">
        <f>B14/Z8/12</f>
        <v>0.19999999999999998</v>
      </c>
      <c r="G14" s="58">
        <f>C14/Z8/12</f>
        <v>0.19999999999999998</v>
      </c>
      <c r="H14" s="59"/>
      <c r="I14" s="60">
        <f>('Тариф для ОСС_жилье '!E27*'Достаточность по ОСС'!Z5)*12</f>
        <v>56391.600000000006</v>
      </c>
      <c r="J14" s="65">
        <v>56391.600000000006</v>
      </c>
      <c r="K14" s="61">
        <f t="shared" si="8"/>
        <v>0</v>
      </c>
      <c r="L14" s="62">
        <f t="shared" si="9"/>
        <v>0.20000000000000004</v>
      </c>
      <c r="M14" s="57">
        <f t="shared" si="10"/>
        <v>0.20000000000000004</v>
      </c>
      <c r="N14" s="57">
        <f t="shared" si="11"/>
        <v>0</v>
      </c>
      <c r="O14" s="58">
        <f t="shared" si="12"/>
        <v>0</v>
      </c>
      <c r="P14" s="59"/>
      <c r="Q14" s="60">
        <f>('Тариф для ОСС_нежилье НП-1'!E27*'Достаточность по ОСС'!Z6)*12</f>
        <v>4042.3200000000002</v>
      </c>
      <c r="R14" s="65">
        <v>4042.3200000000002</v>
      </c>
      <c r="S14" s="61">
        <f t="shared" si="13"/>
        <v>0</v>
      </c>
      <c r="T14" s="62">
        <f t="shared" si="14"/>
        <v>0.20000000000000004</v>
      </c>
      <c r="U14" s="57">
        <f t="shared" si="14"/>
        <v>0.20000000000000004</v>
      </c>
      <c r="V14" s="57">
        <f t="shared" si="15"/>
        <v>0</v>
      </c>
      <c r="W14" s="58">
        <f t="shared" si="16"/>
        <v>0</v>
      </c>
      <c r="X14" s="63"/>
      <c r="Y14" s="63"/>
    </row>
    <row r="15" s="64" customFormat="1" ht="26.449999999999999" customHeight="1">
      <c r="A15" s="66" t="s">
        <v>67</v>
      </c>
      <c r="B15" s="67">
        <f>SUM(B3:B14)</f>
        <v>13557073.366329601</v>
      </c>
      <c r="C15" s="67">
        <f>SUM(C3:C14)</f>
        <v>12490750.625514181</v>
      </c>
      <c r="D15" s="67">
        <f t="shared" si="6"/>
        <v>1066322.7408154197</v>
      </c>
      <c r="E15" s="68">
        <f t="shared" si="7"/>
        <v>8.5368988044425436</v>
      </c>
      <c r="F15" s="68">
        <f>SUM(F3:F14)</f>
        <v>37.441069301811602</v>
      </c>
      <c r="G15" s="69">
        <f>SUM(G3:G14)</f>
        <v>33.935703078112148</v>
      </c>
      <c r="H15" s="70"/>
      <c r="I15" s="71">
        <f>SUM(I3:I14)</f>
        <v>12777812.808351275</v>
      </c>
      <c r="J15" s="67">
        <f>SUM(J3:J14)</f>
        <v>11797186.708498344</v>
      </c>
      <c r="K15" s="72">
        <f>(I15-J15)/I15*100</f>
        <v>7.6744440896177224</v>
      </c>
      <c r="L15" s="73">
        <f>SUM(L3:L14)</f>
        <v>45.318142447993232</v>
      </c>
      <c r="M15" s="68">
        <f>SUM(M3:M14)</f>
        <v>41.840226943368677</v>
      </c>
      <c r="N15" s="68">
        <f t="shared" si="11"/>
        <v>3.4779155046245549</v>
      </c>
      <c r="O15" s="69">
        <f t="shared" si="12"/>
        <v>8.3123724671282559</v>
      </c>
      <c r="P15" s="70"/>
      <c r="Q15" s="71">
        <f>SUM(Q3:Q14)</f>
        <v>779260.55797832587</v>
      </c>
      <c r="R15" s="67">
        <f>SUM(R3:R14)</f>
        <v>693563.91701583762</v>
      </c>
      <c r="S15" s="72">
        <f t="shared" si="13"/>
        <v>10.997174190981163</v>
      </c>
      <c r="T15" s="73">
        <f>SUM(T3:T14)</f>
        <v>38.555114784496332</v>
      </c>
      <c r="U15" s="68">
        <f>SUM(U3:U14)</f>
        <v>34.315141652112537</v>
      </c>
      <c r="V15" s="68">
        <f t="shared" si="15"/>
        <v>4.2399731323837955</v>
      </c>
      <c r="W15" s="69">
        <f t="shared" si="16"/>
        <v>12.355983184824694</v>
      </c>
      <c r="X15" s="63"/>
      <c r="Y15" s="63"/>
    </row>
  </sheetData>
  <mergeCells count="1">
    <mergeCell ref="A1:E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G24" activeCellId="0" sqref="G24"/>
    </sheetView>
  </sheetViews>
  <sheetFormatPr defaultColWidth="8.85546875" defaultRowHeight="15"/>
  <cols>
    <col customWidth="1" min="1" max="1" style="75" width="28"/>
    <col customWidth="1" min="2" max="2" style="75" width="26.28515625"/>
    <col customWidth="1" min="3" max="4" style="75" width="12.7109375"/>
    <col customWidth="1" min="5" max="12" style="75" width="13.28515625"/>
    <col customWidth="1" min="13" max="15" style="75" width="12"/>
    <col customWidth="1" min="16" max="16" style="75" width="12.7109375"/>
    <col customWidth="1" min="17" max="17" style="75" width="12.85546875"/>
    <col customWidth="1" min="18" max="19" style="75" width="12"/>
    <col customWidth="1" min="20" max="20" style="75" width="11.7109375"/>
    <col customWidth="1" min="21" max="21" style="75" width="12.28515625"/>
    <col min="22" max="28" style="75" width="8.85546875"/>
    <col min="29" max="16384" style="74" width="8.85546875"/>
  </cols>
  <sheetData>
    <row r="2">
      <c r="A2" s="76" t="s">
        <v>68</v>
      </c>
      <c r="B2" s="77"/>
    </row>
    <row r="3" s="78" customFormat="1" ht="12">
      <c r="A3" s="78" t="s">
        <v>58</v>
      </c>
      <c r="B3" s="79">
        <v>23496.5</v>
      </c>
      <c r="E3" s="77"/>
    </row>
    <row r="4" s="78" customFormat="1" ht="12">
      <c r="A4" s="78" t="s">
        <v>60</v>
      </c>
      <c r="B4" s="79">
        <v>1684.3</v>
      </c>
      <c r="E4" s="77"/>
    </row>
    <row r="5" s="78" customFormat="1" ht="12">
      <c r="A5" s="78" t="s">
        <v>61</v>
      </c>
      <c r="B5" s="79">
        <v>0</v>
      </c>
      <c r="E5" s="80"/>
    </row>
    <row r="6" s="78" customFormat="1" ht="12">
      <c r="B6" s="81">
        <f>SUM(B3:B5)</f>
        <v>25180.799999999999</v>
      </c>
      <c r="E6" s="80"/>
    </row>
    <row r="7" s="82" customFormat="1" ht="12.75">
      <c r="B7" s="83"/>
      <c r="O7" s="84"/>
    </row>
    <row r="8">
      <c r="A8" s="85"/>
    </row>
    <row r="9" s="86" customFormat="1" ht="39" customHeight="1">
      <c r="A9" s="87" t="s">
        <v>69</v>
      </c>
      <c r="B9" s="88" t="s">
        <v>70</v>
      </c>
      <c r="C9" s="88" t="s">
        <v>71</v>
      </c>
      <c r="D9" s="89" t="s">
        <v>72</v>
      </c>
      <c r="E9" s="90" t="s">
        <v>73</v>
      </c>
      <c r="F9" s="90" t="s">
        <v>74</v>
      </c>
      <c r="G9" s="90" t="s">
        <v>75</v>
      </c>
      <c r="H9" s="90" t="s">
        <v>76</v>
      </c>
      <c r="I9" s="90" t="s">
        <v>77</v>
      </c>
      <c r="J9" s="90" t="s">
        <v>78</v>
      </c>
      <c r="K9" s="90" t="s">
        <v>79</v>
      </c>
      <c r="L9" s="90" t="s">
        <v>80</v>
      </c>
      <c r="M9" s="90" t="s">
        <v>81</v>
      </c>
      <c r="N9" s="90" t="s">
        <v>82</v>
      </c>
      <c r="O9" s="90" t="s">
        <v>83</v>
      </c>
      <c r="P9" s="91" t="s">
        <v>84</v>
      </c>
      <c r="Q9" s="91" t="s">
        <v>85</v>
      </c>
      <c r="R9" s="90" t="s">
        <v>52</v>
      </c>
      <c r="S9" s="92" t="s">
        <v>9</v>
      </c>
      <c r="T9" s="93"/>
      <c r="U9" s="93"/>
      <c r="V9" s="93"/>
      <c r="W9" s="93"/>
      <c r="X9" s="93"/>
      <c r="Y9" s="93"/>
      <c r="Z9" s="93"/>
      <c r="AA9" s="93"/>
      <c r="AB9" s="93"/>
    </row>
    <row r="10" s="86" customFormat="1" ht="12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6"/>
      <c r="R10" s="97"/>
      <c r="S10" s="98"/>
      <c r="T10" s="93"/>
      <c r="U10" s="93"/>
      <c r="V10" s="93"/>
      <c r="W10" s="93"/>
      <c r="X10" s="93"/>
      <c r="Y10" s="93"/>
      <c r="Z10" s="93"/>
      <c r="AA10" s="93"/>
      <c r="AB10" s="93"/>
    </row>
    <row r="11" s="99" customFormat="1" ht="12" customHeight="1">
      <c r="A11" s="100" t="s">
        <v>86</v>
      </c>
      <c r="B11" s="101" t="s">
        <v>87</v>
      </c>
      <c r="C11" s="101">
        <v>1</v>
      </c>
      <c r="D11" s="101">
        <v>41000</v>
      </c>
      <c r="E11" s="101">
        <v>41000</v>
      </c>
      <c r="F11" s="101"/>
      <c r="G11" s="101">
        <f t="shared" ref="G11:G20" si="17">E11+F11</f>
        <v>41000</v>
      </c>
      <c r="H11" s="101">
        <f t="shared" ref="H11:H13" si="18">12792*30.2%+(G11-12792)*15%</f>
        <v>8094.384</v>
      </c>
      <c r="I11" s="101">
        <f>77148/12</f>
        <v>6429</v>
      </c>
      <c r="J11" s="101">
        <f t="shared" ref="J11:J12" si="19">(2032/12)+(2500/24)</f>
        <v>273.5</v>
      </c>
      <c r="K11" s="101">
        <f>(3300+5500+1540)/12</f>
        <v>861.66666666666663</v>
      </c>
      <c r="L11" s="101">
        <f>C28</f>
        <v>18752.700000000001</v>
      </c>
      <c r="M11" s="101">
        <f>G11+G12+G13+G14+H11+H12+H13+H14+I11+J11+J12+J13+J14+K11+K12+K13+K14+L11</f>
        <v>178638.60199999998</v>
      </c>
      <c r="N11" s="102">
        <f>M11*95%*1%</f>
        <v>1697.0667189999999</v>
      </c>
      <c r="O11" s="102">
        <f>(M11+N11)*10%</f>
        <v>18033.566871899999</v>
      </c>
      <c r="P11" s="103">
        <f>(M11+N11+O11)/B6</f>
        <v>7.8777971943266287</v>
      </c>
      <c r="Q11" s="103">
        <v>5.7199999999999998</v>
      </c>
      <c r="R11" s="104">
        <f>P11-Q11</f>
        <v>2.157797194326629</v>
      </c>
      <c r="S11" s="105">
        <f>P11/Q11*100-100</f>
        <v>37.723727173542471</v>
      </c>
      <c r="T11" s="106"/>
      <c r="U11" s="106"/>
      <c r="V11" s="106"/>
      <c r="W11" s="106"/>
      <c r="X11" s="106"/>
      <c r="Y11" s="106"/>
      <c r="Z11" s="106"/>
      <c r="AA11" s="106"/>
      <c r="AB11" s="106"/>
    </row>
    <row r="12" s="99" customFormat="1" ht="12" customHeight="1">
      <c r="A12" s="107"/>
      <c r="B12" s="108" t="s">
        <v>88</v>
      </c>
      <c r="C12" s="108">
        <v>1</v>
      </c>
      <c r="D12" s="108">
        <v>47000</v>
      </c>
      <c r="E12" s="108">
        <v>47000</v>
      </c>
      <c r="F12" s="108"/>
      <c r="G12" s="108">
        <f t="shared" si="17"/>
        <v>47000</v>
      </c>
      <c r="H12" s="108">
        <f t="shared" si="18"/>
        <v>8994.384</v>
      </c>
      <c r="I12" s="108"/>
      <c r="J12" s="108">
        <f t="shared" si="19"/>
        <v>273.5</v>
      </c>
      <c r="K12" s="108"/>
      <c r="L12" s="108"/>
      <c r="M12" s="108"/>
      <c r="N12" s="109"/>
      <c r="O12" s="109"/>
      <c r="P12" s="110"/>
      <c r="Q12" s="110"/>
      <c r="R12" s="111"/>
      <c r="S12" s="112"/>
      <c r="T12" s="106"/>
      <c r="U12" s="106"/>
      <c r="V12" s="106"/>
      <c r="W12" s="106"/>
      <c r="X12" s="106"/>
      <c r="Y12" s="106"/>
      <c r="Z12" s="106"/>
      <c r="AA12" s="106"/>
      <c r="AB12" s="106"/>
    </row>
    <row r="13" s="99" customFormat="1" ht="24" customHeight="1">
      <c r="A13" s="107"/>
      <c r="B13" s="113" t="s">
        <v>89</v>
      </c>
      <c r="C13" s="108">
        <v>1</v>
      </c>
      <c r="D13" s="108">
        <v>21500</v>
      </c>
      <c r="E13" s="108">
        <v>21500</v>
      </c>
      <c r="F13" s="108">
        <f t="shared" ref="F13:F20" si="20">E13/12</f>
        <v>1791.6666666666667</v>
      </c>
      <c r="G13" s="108">
        <f t="shared" si="17"/>
        <v>23291.666666666668</v>
      </c>
      <c r="H13" s="108">
        <f t="shared" si="18"/>
        <v>5438.134</v>
      </c>
      <c r="I13" s="108"/>
      <c r="J13" s="108">
        <f>(4202/12)+(4303/24)</f>
        <v>529.45833333333337</v>
      </c>
      <c r="K13" s="108">
        <f t="shared" ref="K13:K14" si="21">C13*5700/12</f>
        <v>475</v>
      </c>
      <c r="L13" s="108"/>
      <c r="M13" s="108"/>
      <c r="N13" s="109"/>
      <c r="O13" s="109"/>
      <c r="P13" s="110"/>
      <c r="Q13" s="110"/>
      <c r="R13" s="111"/>
      <c r="S13" s="112"/>
      <c r="T13" s="106"/>
      <c r="U13" s="106"/>
      <c r="V13" s="106"/>
      <c r="W13" s="106"/>
      <c r="X13" s="106"/>
      <c r="Y13" s="106"/>
      <c r="Z13" s="106"/>
      <c r="AA13" s="106"/>
      <c r="AB13" s="106"/>
    </row>
    <row r="14" s="99" customFormat="1" ht="14.449999999999999" customHeight="1">
      <c r="A14" s="114"/>
      <c r="B14" s="115" t="s">
        <v>90</v>
      </c>
      <c r="C14" s="115">
        <v>1</v>
      </c>
      <c r="D14" s="115">
        <v>11500</v>
      </c>
      <c r="E14" s="115">
        <v>11500</v>
      </c>
      <c r="F14" s="115">
        <f t="shared" si="20"/>
        <v>958.33333333333337</v>
      </c>
      <c r="G14" s="115">
        <f t="shared" si="17"/>
        <v>12458.333333333334</v>
      </c>
      <c r="H14" s="115">
        <f>G14*30.2%</f>
        <v>3762.4166666666665</v>
      </c>
      <c r="I14" s="115"/>
      <c r="J14" s="115">
        <f>C14*((4202/12)+(4303/24))</f>
        <v>529.45833333333337</v>
      </c>
      <c r="K14" s="115">
        <f t="shared" si="21"/>
        <v>475</v>
      </c>
      <c r="L14" s="115"/>
      <c r="M14" s="115"/>
      <c r="N14" s="116"/>
      <c r="O14" s="116"/>
      <c r="P14" s="117"/>
      <c r="Q14" s="117"/>
      <c r="R14" s="118"/>
      <c r="S14" s="119"/>
      <c r="T14" s="106"/>
      <c r="U14" s="106"/>
      <c r="V14" s="106"/>
      <c r="W14" s="106"/>
      <c r="X14" s="106"/>
      <c r="Y14" s="106"/>
      <c r="Z14" s="106"/>
      <c r="AA14" s="106"/>
      <c r="AB14" s="106"/>
    </row>
    <row r="15" s="86" customFormat="1" ht="14.449999999999999" customHeight="1">
      <c r="A15" s="120"/>
      <c r="B15" s="95"/>
      <c r="C15" s="95"/>
      <c r="D15" s="95"/>
      <c r="E15" s="95"/>
      <c r="F15" s="95"/>
      <c r="G15" s="95"/>
      <c r="H15" s="95"/>
      <c r="I15" s="109"/>
      <c r="J15" s="95"/>
      <c r="K15" s="95"/>
      <c r="L15" s="109"/>
      <c r="M15" s="109"/>
      <c r="N15" s="109"/>
      <c r="O15" s="109"/>
      <c r="P15" s="121"/>
      <c r="Q15" s="121"/>
      <c r="R15" s="122"/>
      <c r="S15" s="123"/>
      <c r="T15" s="93"/>
      <c r="U15" s="93"/>
      <c r="V15" s="93"/>
      <c r="W15" s="93"/>
      <c r="X15" s="93"/>
      <c r="Y15" s="93"/>
      <c r="Z15" s="93"/>
      <c r="AA15" s="93"/>
      <c r="AB15" s="93"/>
    </row>
    <row r="16" s="99" customFormat="1" ht="14.449999999999999" customHeight="1">
      <c r="A16" s="124" t="s">
        <v>30</v>
      </c>
      <c r="B16" s="125" t="s">
        <v>91</v>
      </c>
      <c r="C16" s="125">
        <v>4</v>
      </c>
      <c r="D16" s="125">
        <v>27000</v>
      </c>
      <c r="E16" s="125">
        <f>27000*C16</f>
        <v>108000</v>
      </c>
      <c r="F16" s="125">
        <f t="shared" si="20"/>
        <v>9000</v>
      </c>
      <c r="G16" s="125">
        <f t="shared" si="17"/>
        <v>117000</v>
      </c>
      <c r="H16" s="125">
        <f>C16*12792*30.2%+(G16-12792*C16)*15%</f>
        <v>25327.536</v>
      </c>
      <c r="I16" s="125">
        <f>8964/12</f>
        <v>747</v>
      </c>
      <c r="J16" s="125">
        <f>C16*((2076/12)+(2448/24))</f>
        <v>1100</v>
      </c>
      <c r="K16" s="125">
        <f>C16*2950/12</f>
        <v>983.33333333333337</v>
      </c>
      <c r="L16" s="125"/>
      <c r="M16" s="125">
        <f>G16+H16+I16+J16+K16+L16</f>
        <v>145157.86933333334</v>
      </c>
      <c r="N16" s="125">
        <f>M16*95%*1%</f>
        <v>1378.9997586666668</v>
      </c>
      <c r="O16" s="125">
        <f>(M16+N16)*10%</f>
        <v>14653.686909200002</v>
      </c>
      <c r="P16" s="126">
        <f>(M16+N16+O16)/B6</f>
        <v>6.4013278371298776</v>
      </c>
      <c r="Q16" s="126">
        <v>3.9500000000000002</v>
      </c>
      <c r="R16" s="127">
        <f>P16-Q16</f>
        <v>2.4513278371298775</v>
      </c>
      <c r="S16" s="128">
        <f>P16/Q16*100-100</f>
        <v>62.058932585566509</v>
      </c>
      <c r="T16" s="106"/>
      <c r="U16" s="106"/>
      <c r="V16" s="106"/>
      <c r="W16" s="106"/>
      <c r="X16" s="106"/>
      <c r="Y16" s="106"/>
      <c r="Z16" s="106"/>
      <c r="AA16" s="106"/>
      <c r="AB16" s="106"/>
    </row>
    <row r="17" s="99" customFormat="1" ht="14.449999999999999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26"/>
      <c r="R17" s="127"/>
      <c r="S17" s="128"/>
      <c r="T17" s="106"/>
      <c r="U17" s="106"/>
      <c r="V17" s="106"/>
      <c r="W17" s="106"/>
      <c r="X17" s="106"/>
      <c r="Y17" s="106"/>
      <c r="Z17" s="106"/>
      <c r="AA17" s="106"/>
      <c r="AB17" s="106"/>
    </row>
    <row r="18" s="99" customFormat="1" ht="14.449999999999999" customHeight="1">
      <c r="A18" s="124" t="s">
        <v>16</v>
      </c>
      <c r="B18" s="125" t="s">
        <v>92</v>
      </c>
      <c r="C18" s="125">
        <v>2</v>
      </c>
      <c r="D18" s="125">
        <v>27000</v>
      </c>
      <c r="E18" s="125">
        <f>C18*27000</f>
        <v>54000</v>
      </c>
      <c r="F18" s="125">
        <f t="shared" si="20"/>
        <v>4500</v>
      </c>
      <c r="G18" s="125">
        <f t="shared" si="17"/>
        <v>58500</v>
      </c>
      <c r="H18" s="125">
        <f>C18*12792*30.2%+(G18-12792*C18)*15%</f>
        <v>12663.768</v>
      </c>
      <c r="I18" s="125">
        <f>20784/12</f>
        <v>1732</v>
      </c>
      <c r="J18" s="125">
        <f>C18*(4911/12+2448/24)</f>
        <v>1022.5</v>
      </c>
      <c r="K18" s="125"/>
      <c r="L18" s="125"/>
      <c r="M18" s="125">
        <f t="shared" ref="M18:M20" si="22">G18+H18+I18+J18+K18+L18</f>
        <v>73918.267999999996</v>
      </c>
      <c r="N18" s="125">
        <f t="shared" ref="N18:N20" si="23">M18*95%*1%</f>
        <v>702.22354599999994</v>
      </c>
      <c r="O18" s="125">
        <f t="shared" ref="O18:O20" si="24">(M18+N18)*10%</f>
        <v>7462.0491545999994</v>
      </c>
      <c r="P18" s="126">
        <f>(M18+N18+O18)/B3</f>
        <v>3.4933943651437445</v>
      </c>
      <c r="Q18" s="126">
        <v>2.1699999999999999</v>
      </c>
      <c r="R18" s="127">
        <f t="shared" ref="R18:R27" si="25">P18-Q18</f>
        <v>1.3233943651437445</v>
      </c>
      <c r="S18" s="128">
        <f t="shared" ref="S18:S27" si="26">P18/Q18*100-100</f>
        <v>60.9859154444122</v>
      </c>
      <c r="T18" s="106"/>
      <c r="AB18" s="106"/>
    </row>
    <row r="19" s="99" customFormat="1" ht="14.449999999999999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26"/>
      <c r="R19" s="127"/>
      <c r="S19" s="128"/>
      <c r="T19" s="106"/>
      <c r="AB19" s="106"/>
    </row>
    <row r="20" s="99" customFormat="1" ht="23.449999999999999" customHeight="1">
      <c r="A20" s="124" t="s">
        <v>17</v>
      </c>
      <c r="B20" s="125" t="s">
        <v>93</v>
      </c>
      <c r="C20" s="125">
        <v>2</v>
      </c>
      <c r="D20" s="125">
        <v>27000</v>
      </c>
      <c r="E20" s="125">
        <f>C20*27000</f>
        <v>54000</v>
      </c>
      <c r="F20" s="125">
        <f t="shared" si="20"/>
        <v>4500</v>
      </c>
      <c r="G20" s="125">
        <f t="shared" si="17"/>
        <v>58500</v>
      </c>
      <c r="H20" s="125">
        <f>C20*12792*30.2%+(G20-12792*C20)*15%</f>
        <v>12663.768</v>
      </c>
      <c r="I20" s="125">
        <f>5000/12</f>
        <v>416.66666666666669</v>
      </c>
      <c r="J20" s="125">
        <f>C20*(4202/12+4303/24)</f>
        <v>1058.9166666666667</v>
      </c>
      <c r="K20" s="125"/>
      <c r="L20" s="125">
        <f>100000/12</f>
        <v>8333.3333333333339</v>
      </c>
      <c r="M20" s="125">
        <f t="shared" si="22"/>
        <v>80972.684666666668</v>
      </c>
      <c r="N20" s="125">
        <f t="shared" si="23"/>
        <v>769.24050433333343</v>
      </c>
      <c r="O20" s="125">
        <f t="shared" si="24"/>
        <v>8174.1925171000003</v>
      </c>
      <c r="P20" s="126"/>
      <c r="Q20" s="126"/>
      <c r="R20" s="127"/>
      <c r="S20" s="128"/>
      <c r="T20" s="106"/>
      <c r="AB20" s="106"/>
    </row>
    <row r="21" s="129" customFormat="1" ht="1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  <c r="Q21" s="132"/>
      <c r="R21" s="133"/>
      <c r="S21" s="134"/>
      <c r="T21" s="135"/>
      <c r="AB21" s="135"/>
    </row>
    <row r="22" s="136" customForma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</row>
    <row r="23" s="136" customForma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</row>
    <row r="24" s="136" customFormat="1" ht="41.450000000000003" customHeight="1">
      <c r="A24" s="138" t="s">
        <v>94</v>
      </c>
      <c r="B24" s="139" t="s">
        <v>69</v>
      </c>
      <c r="C24" s="140" t="s">
        <v>95</v>
      </c>
      <c r="D24" s="141"/>
      <c r="E24" s="137"/>
      <c r="F24" s="137"/>
      <c r="G24" s="137"/>
      <c r="H24" s="137"/>
      <c r="I24" s="137"/>
      <c r="J24" s="137"/>
      <c r="K24" s="137"/>
      <c r="L24" s="137"/>
      <c r="M24" s="87" t="s">
        <v>96</v>
      </c>
      <c r="N24" s="89" t="s">
        <v>97</v>
      </c>
      <c r="O24" s="88" t="s">
        <v>98</v>
      </c>
      <c r="P24" s="142" t="s">
        <v>84</v>
      </c>
      <c r="Q24" s="142" t="s">
        <v>85</v>
      </c>
      <c r="R24" s="89" t="s">
        <v>99</v>
      </c>
      <c r="S24" s="143" t="s">
        <v>9</v>
      </c>
      <c r="T24" s="137"/>
      <c r="U24" s="137"/>
      <c r="V24" s="137"/>
      <c r="W24" s="137"/>
      <c r="X24" s="137"/>
      <c r="Y24" s="137"/>
      <c r="Z24" s="137"/>
      <c r="AA24" s="137"/>
      <c r="AB24" s="137"/>
    </row>
    <row r="25" s="136" customFormat="1" ht="31.149999999999999" customHeight="1">
      <c r="A25" s="144"/>
      <c r="B25" s="139" t="s">
        <v>86</v>
      </c>
      <c r="C25" s="145"/>
      <c r="D25" s="146"/>
      <c r="E25" s="137"/>
      <c r="F25" s="137"/>
      <c r="G25" s="137"/>
      <c r="H25" s="137"/>
      <c r="I25" s="137"/>
      <c r="J25" s="137"/>
      <c r="K25" s="137"/>
      <c r="L25" s="137"/>
      <c r="M25" s="147" t="s">
        <v>100</v>
      </c>
      <c r="N25" s="148">
        <f>2.02*23269.7</f>
        <v>47004.794000000002</v>
      </c>
      <c r="O25" s="148">
        <f>N25*O28/N28</f>
        <v>76593.1900289677</v>
      </c>
      <c r="P25" s="149">
        <f>O25/23269.7</f>
        <v>3.2915417916418215</v>
      </c>
      <c r="Q25" s="150">
        <v>2.02</v>
      </c>
      <c r="R25" s="151">
        <f t="shared" si="25"/>
        <v>1.2715417916418215</v>
      </c>
      <c r="S25" s="152">
        <f t="shared" si="26"/>
        <v>62.947613447614913</v>
      </c>
      <c r="T25" s="137"/>
      <c r="U25" s="137"/>
      <c r="V25" s="137"/>
      <c r="W25" s="137"/>
      <c r="X25" s="137"/>
      <c r="Y25" s="137"/>
      <c r="Z25" s="137"/>
      <c r="AA25" s="137"/>
      <c r="AB25" s="137"/>
    </row>
    <row r="26" s="153" customFormat="1" ht="25.149999999999999" customHeight="1">
      <c r="A26" s="144"/>
      <c r="B26" s="154" t="s">
        <v>101</v>
      </c>
      <c r="C26" s="155">
        <v>2890</v>
      </c>
      <c r="D26" s="156"/>
      <c r="E26" s="157"/>
      <c r="F26" s="157"/>
      <c r="G26" s="157"/>
      <c r="H26" s="157"/>
      <c r="I26" s="157"/>
      <c r="J26" s="157"/>
      <c r="K26" s="157"/>
      <c r="L26" s="157"/>
      <c r="M26" s="158" t="s">
        <v>102</v>
      </c>
      <c r="N26" s="159">
        <f>4.41*1684.3</f>
        <v>7427.7629999999999</v>
      </c>
      <c r="O26" s="159">
        <f>N26*O28/N28</f>
        <v>12103.362541044968</v>
      </c>
      <c r="P26" s="160">
        <f>O26/1684.3</f>
        <v>7.1859897530398191</v>
      </c>
      <c r="Q26" s="161">
        <v>4.4100000000000001</v>
      </c>
      <c r="R26" s="162">
        <f t="shared" si="25"/>
        <v>2.775989753039819</v>
      </c>
      <c r="S26" s="163">
        <f t="shared" si="26"/>
        <v>62.947613447614941</v>
      </c>
      <c r="T26" s="157"/>
      <c r="U26" s="157"/>
      <c r="V26" s="157"/>
      <c r="W26" s="157"/>
      <c r="X26" s="157"/>
      <c r="Y26" s="157"/>
      <c r="Z26" s="157"/>
      <c r="AA26" s="157"/>
      <c r="AB26" s="157"/>
    </row>
    <row r="27" s="153" customFormat="1" ht="25.149999999999999" customHeight="1">
      <c r="A27" s="144"/>
      <c r="B27" s="164" t="s">
        <v>103</v>
      </c>
      <c r="C27" s="165">
        <v>15862.700000000001</v>
      </c>
      <c r="D27" s="156"/>
      <c r="E27" s="157"/>
      <c r="F27" s="157"/>
      <c r="G27" s="157"/>
      <c r="H27" s="157"/>
      <c r="I27" s="157"/>
      <c r="J27" s="157"/>
      <c r="K27" s="157"/>
      <c r="L27" s="157"/>
      <c r="M27" s="158" t="s">
        <v>104</v>
      </c>
      <c r="N27" s="159">
        <f>3.3*226.8</f>
        <v>748.43999999999994</v>
      </c>
      <c r="O27" s="159">
        <f>N27*O28/N28</f>
        <v>1219.565118087329</v>
      </c>
      <c r="P27" s="160">
        <f>O27/226.8</f>
        <v>5.3772712437712915</v>
      </c>
      <c r="Q27" s="160">
        <v>3.2999999999999998</v>
      </c>
      <c r="R27" s="162">
        <f t="shared" si="25"/>
        <v>2.0772712437712917</v>
      </c>
      <c r="S27" s="163">
        <f t="shared" si="26"/>
        <v>62.947613447614913</v>
      </c>
      <c r="T27" s="157"/>
      <c r="U27" s="157"/>
      <c r="V27" s="157"/>
      <c r="W27" s="157"/>
      <c r="X27" s="157"/>
      <c r="Y27" s="157"/>
      <c r="Z27" s="157"/>
      <c r="AA27" s="157"/>
      <c r="AB27" s="157"/>
    </row>
    <row r="28" s="153" customFormat="1" ht="25.149999999999999" customHeight="1">
      <c r="A28" s="166"/>
      <c r="B28" s="167" t="s">
        <v>105</v>
      </c>
      <c r="C28" s="168">
        <f>SUM(C26:C27)</f>
        <v>18752.700000000001</v>
      </c>
      <c r="D28" s="169"/>
      <c r="E28" s="157"/>
      <c r="F28" s="157"/>
      <c r="G28" s="157"/>
      <c r="H28" s="157"/>
      <c r="I28" s="157"/>
      <c r="J28" s="157"/>
      <c r="K28" s="157"/>
      <c r="L28" s="157"/>
      <c r="M28" s="170"/>
      <c r="N28" s="171">
        <f>SUM(N25:N27)</f>
        <v>55180.997000000003</v>
      </c>
      <c r="O28" s="171">
        <f>M20+N20+O20</f>
        <v>89916.117688099999</v>
      </c>
      <c r="P28" s="172"/>
      <c r="Q28" s="172"/>
      <c r="R28" s="173"/>
      <c r="S28" s="174"/>
      <c r="T28" s="157"/>
      <c r="U28" s="157"/>
      <c r="V28" s="157"/>
      <c r="W28" s="157"/>
      <c r="X28" s="157"/>
      <c r="Y28" s="157"/>
      <c r="Z28" s="157"/>
      <c r="AA28" s="157"/>
      <c r="AB28" s="157"/>
    </row>
    <row r="29" s="175" customForma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</row>
    <row r="30" s="175" customFormat="1" ht="15.6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  <c r="IW30" s="75"/>
    </row>
    <row r="31" s="175" customForma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  <c r="IW31" s="75"/>
    </row>
    <row r="32" s="175" customFormat="1" ht="26.44999999999999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</row>
    <row r="33" s="175" customFormat="1" ht="26.449999999999999" customHeight="1">
      <c r="A33" s="75"/>
      <c r="B33" s="75"/>
      <c r="C33" s="75"/>
      <c r="D33" s="75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="75" customFormat="1" ht="26.449999999999999" customHeight="1">
      <c r="AC34" s="74"/>
      <c r="AD34" s="74"/>
    </row>
    <row r="35" ht="25.149999999999999" customHeight="1"/>
    <row r="36" ht="25.149999999999999" customHeight="1"/>
    <row r="37" ht="25.149999999999999" customHeight="1"/>
    <row r="38" ht="25.149999999999999" customHeight="1"/>
  </sheetData>
  <mergeCells count="12">
    <mergeCell ref="A24:A28"/>
    <mergeCell ref="A11:A14"/>
    <mergeCell ref="I11:I14"/>
    <mergeCell ref="L11:L14"/>
    <mergeCell ref="M11:M14"/>
    <mergeCell ref="P11:P14"/>
    <mergeCell ref="Q11:Q14"/>
    <mergeCell ref="R11:R14"/>
    <mergeCell ref="S11:S14"/>
    <mergeCell ref="B25:C25"/>
    <mergeCell ref="N11:N14"/>
    <mergeCell ref="O11:O1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32" activeCellId="0" sqref="G32"/>
    </sheetView>
  </sheetViews>
  <sheetFormatPr defaultColWidth="8.85546875" defaultRowHeight="15"/>
  <cols>
    <col customWidth="1" min="1" max="1" style="75" width="23.42578125"/>
    <col customWidth="1" min="2" max="2" style="75" width="26.42578125"/>
    <col customWidth="1" min="3" max="4" style="75" width="9"/>
    <col customWidth="1" min="5" max="5" style="75" width="10.5703125"/>
    <col customWidth="1" min="6" max="6" style="75" width="22.7109375"/>
    <col customWidth="1" min="7" max="10" style="75" width="14.42578125"/>
    <col customWidth="1" min="11" max="11" style="75" width="14.7109375"/>
    <col customWidth="1" min="12" max="12" style="75" width="11.42578125"/>
    <col customWidth="1" min="13" max="13" style="75" width="13.85546875"/>
    <col bestFit="1" customWidth="1" min="14" max="14" style="75" width="13"/>
    <col min="15" max="16384" style="75" width="8.85546875"/>
  </cols>
  <sheetData>
    <row r="1">
      <c r="A1" s="85" t="s">
        <v>106</v>
      </c>
    </row>
    <row r="3" s="82" customFormat="1" ht="12.75">
      <c r="A3" s="176" t="s">
        <v>107</v>
      </c>
    </row>
    <row r="4" s="82" customFormat="1" ht="25.5">
      <c r="A4" s="82" t="s">
        <v>58</v>
      </c>
      <c r="B4" s="177">
        <v>23496.5</v>
      </c>
      <c r="C4" s="178"/>
      <c r="F4" s="179"/>
      <c r="G4" s="180" t="s">
        <v>108</v>
      </c>
      <c r="H4" s="181" t="s">
        <v>109</v>
      </c>
      <c r="I4" s="182" t="s">
        <v>110</v>
      </c>
      <c r="J4" s="183" t="s">
        <v>111</v>
      </c>
    </row>
    <row r="5" s="82" customFormat="1" ht="12.75">
      <c r="A5" s="82" t="s">
        <v>60</v>
      </c>
      <c r="B5" s="177">
        <v>1684.3</v>
      </c>
      <c r="C5" s="178"/>
      <c r="F5" s="184" t="s">
        <v>112</v>
      </c>
      <c r="G5" s="185">
        <v>2</v>
      </c>
      <c r="H5" s="185">
        <v>13</v>
      </c>
      <c r="I5" s="185">
        <v>500</v>
      </c>
      <c r="J5" s="186">
        <v>1</v>
      </c>
    </row>
    <row r="6" s="82" customFormat="1" ht="12.75">
      <c r="A6" s="82" t="s">
        <v>113</v>
      </c>
      <c r="B6" s="177">
        <v>0</v>
      </c>
      <c r="C6" s="178"/>
      <c r="F6" s="187" t="s">
        <v>112</v>
      </c>
      <c r="G6" s="188">
        <v>2</v>
      </c>
      <c r="H6" s="188">
        <v>15</v>
      </c>
      <c r="I6" s="188">
        <v>500</v>
      </c>
      <c r="J6" s="189">
        <v>1</v>
      </c>
    </row>
    <row r="7" s="82" customFormat="1" ht="12.75">
      <c r="B7" s="83">
        <f>SUM(B4:B6)</f>
        <v>25180.799999999999</v>
      </c>
      <c r="F7" s="187" t="s">
        <v>114</v>
      </c>
      <c r="G7" s="188">
        <v>4</v>
      </c>
      <c r="H7" s="188">
        <v>10</v>
      </c>
      <c r="I7" s="188">
        <v>400</v>
      </c>
      <c r="J7" s="189">
        <v>1</v>
      </c>
    </row>
    <row r="8" s="82" customFormat="1" ht="12.75">
      <c r="F8" s="187" t="s">
        <v>114</v>
      </c>
      <c r="G8" s="188">
        <v>2</v>
      </c>
      <c r="H8" s="188">
        <v>13</v>
      </c>
      <c r="I8" s="188">
        <v>400</v>
      </c>
      <c r="J8" s="189">
        <v>1</v>
      </c>
    </row>
    <row r="9" s="82" customFormat="1" ht="12.75">
      <c r="B9" s="83"/>
      <c r="F9" s="190" t="s">
        <v>114</v>
      </c>
      <c r="G9" s="191">
        <v>2</v>
      </c>
      <c r="H9" s="191">
        <v>15</v>
      </c>
      <c r="I9" s="191">
        <v>400</v>
      </c>
      <c r="J9" s="192">
        <v>1</v>
      </c>
    </row>
    <row r="10" s="82" customFormat="1">
      <c r="A10" s="82" t="s">
        <v>115</v>
      </c>
      <c r="B10" s="177">
        <v>1684.3</v>
      </c>
      <c r="F10" s="75"/>
      <c r="G10" s="75"/>
      <c r="H10" s="75"/>
      <c r="I10" s="75"/>
      <c r="J10" s="75"/>
    </row>
    <row r="11">
      <c r="F11" s="82"/>
      <c r="I11" s="193"/>
      <c r="J11" s="193"/>
    </row>
    <row r="12">
      <c r="A12" s="85" t="s">
        <v>116</v>
      </c>
      <c r="F12" s="193"/>
      <c r="G12" s="193"/>
      <c r="H12" s="193"/>
      <c r="I12" s="194"/>
      <c r="J12" s="195"/>
      <c r="K12" s="193"/>
      <c r="L12" s="193"/>
      <c r="M12" s="193"/>
      <c r="N12" s="193"/>
    </row>
    <row r="13" s="193" customFormat="1" ht="12.75">
      <c r="A13" s="196" t="s">
        <v>117</v>
      </c>
      <c r="B13" s="197"/>
      <c r="C13" s="197"/>
      <c r="D13" s="197"/>
      <c r="E13" s="198">
        <v>5756.6800000000003</v>
      </c>
    </row>
    <row r="14" s="193" customFormat="1" ht="12.75">
      <c r="A14" s="199" t="s">
        <v>118</v>
      </c>
      <c r="B14" s="200"/>
      <c r="C14" s="200"/>
      <c r="D14" s="200"/>
      <c r="E14" s="201">
        <v>0.047</v>
      </c>
      <c r="F14" s="195"/>
    </row>
    <row r="15" s="193" customFormat="1" ht="12.75">
      <c r="A15" s="199" t="s">
        <v>119</v>
      </c>
      <c r="B15" s="200"/>
      <c r="C15" s="200"/>
      <c r="D15" s="200"/>
      <c r="E15" s="201">
        <f>G5</f>
        <v>2</v>
      </c>
      <c r="F15" s="194"/>
    </row>
    <row r="16" s="193" customFormat="1" ht="12.75">
      <c r="A16" s="202" t="s">
        <v>120</v>
      </c>
      <c r="B16" s="203"/>
      <c r="C16" s="203"/>
      <c r="D16" s="203"/>
      <c r="E16" s="204">
        <f>H5</f>
        <v>13</v>
      </c>
      <c r="G16" s="205"/>
      <c r="H16" s="195"/>
      <c r="I16" s="206"/>
      <c r="J16" s="205"/>
    </row>
    <row r="17" s="193" customFormat="1" ht="22.149999999999999" customHeight="1">
      <c r="A17" s="207" t="s">
        <v>121</v>
      </c>
      <c r="B17" s="208"/>
      <c r="C17" s="208"/>
      <c r="D17" s="208"/>
      <c r="E17" s="209">
        <f>E13*(1+E14*(E16-2))*E15</f>
        <v>17465.76712</v>
      </c>
      <c r="G17" s="205"/>
      <c r="H17" s="195"/>
      <c r="I17" s="206"/>
      <c r="J17" s="205"/>
      <c r="K17" s="205"/>
    </row>
    <row r="18" s="193" customFormat="1" ht="12.75">
      <c r="B18" s="195"/>
      <c r="F18" s="210"/>
      <c r="G18" s="205"/>
      <c r="H18" s="195"/>
      <c r="I18" s="206"/>
      <c r="J18" s="205"/>
      <c r="K18" s="205"/>
    </row>
    <row r="19" s="193" customFormat="1" ht="12.75">
      <c r="B19" s="195"/>
      <c r="F19" s="206"/>
      <c r="G19" s="205"/>
      <c r="H19" s="195"/>
      <c r="I19" s="206"/>
      <c r="J19" s="205"/>
      <c r="K19" s="205"/>
    </row>
    <row r="20" s="193" customFormat="1">
      <c r="A20" s="85" t="s">
        <v>122</v>
      </c>
      <c r="B20" s="75"/>
      <c r="C20" s="75"/>
      <c r="D20" s="75"/>
      <c r="E20" s="75"/>
      <c r="F20" s="206"/>
      <c r="G20" s="205"/>
      <c r="H20" s="195"/>
      <c r="I20" s="206"/>
      <c r="J20" s="205"/>
      <c r="K20" s="205"/>
    </row>
    <row r="21" s="193" customFormat="1" ht="12.75">
      <c r="A21" s="196" t="s">
        <v>117</v>
      </c>
      <c r="B21" s="197"/>
      <c r="C21" s="197"/>
      <c r="D21" s="197"/>
      <c r="E21" s="198">
        <v>5756.6800000000003</v>
      </c>
      <c r="F21" s="206"/>
      <c r="G21" s="205"/>
      <c r="H21" s="195"/>
      <c r="I21" s="206"/>
      <c r="J21" s="205"/>
      <c r="K21" s="205"/>
    </row>
    <row r="22" s="193" customFormat="1" ht="12.75">
      <c r="A22" s="199" t="s">
        <v>118</v>
      </c>
      <c r="B22" s="200"/>
      <c r="C22" s="200"/>
      <c r="D22" s="200"/>
      <c r="E22" s="201">
        <v>0.047</v>
      </c>
      <c r="F22" s="206"/>
      <c r="G22" s="205"/>
      <c r="H22" s="195"/>
      <c r="I22" s="206"/>
      <c r="J22" s="205"/>
      <c r="K22" s="205"/>
    </row>
    <row r="23" s="193" customFormat="1" ht="12.75">
      <c r="A23" s="199" t="s">
        <v>119</v>
      </c>
      <c r="B23" s="200"/>
      <c r="C23" s="200"/>
      <c r="D23" s="200"/>
      <c r="E23" s="201">
        <f>G6</f>
        <v>2</v>
      </c>
      <c r="F23" s="206"/>
      <c r="K23" s="205"/>
    </row>
    <row r="24" s="193" customFormat="1" ht="12.75">
      <c r="A24" s="202" t="s">
        <v>120</v>
      </c>
      <c r="B24" s="203"/>
      <c r="C24" s="203"/>
      <c r="D24" s="203"/>
      <c r="E24" s="204">
        <f>H6</f>
        <v>15</v>
      </c>
      <c r="F24" s="206"/>
      <c r="G24" s="205"/>
      <c r="H24" s="195"/>
      <c r="I24" s="206"/>
      <c r="J24" s="205"/>
    </row>
    <row r="25" s="193" customFormat="1" ht="22.149999999999999" customHeight="1">
      <c r="A25" s="207" t="s">
        <v>121</v>
      </c>
      <c r="B25" s="208"/>
      <c r="C25" s="208"/>
      <c r="D25" s="208"/>
      <c r="E25" s="209">
        <f>E21*(1+E22*(E24-2))*E23</f>
        <v>18548.022960000002</v>
      </c>
      <c r="F25" s="206"/>
      <c r="G25" s="205"/>
      <c r="H25" s="195"/>
      <c r="I25" s="206"/>
      <c r="J25" s="205"/>
      <c r="K25" s="205"/>
    </row>
    <row r="26" s="193" customFormat="1" ht="12.75">
      <c r="B26" s="195"/>
      <c r="F26" s="206"/>
      <c r="G26" s="205"/>
      <c r="H26" s="195"/>
      <c r="I26" s="206"/>
      <c r="J26" s="205"/>
      <c r="K26" s="205"/>
    </row>
    <row r="27" s="193" customFormat="1" ht="12.75">
      <c r="B27" s="195"/>
      <c r="F27" s="206"/>
      <c r="G27" s="205"/>
      <c r="H27" s="195"/>
      <c r="I27" s="206"/>
      <c r="J27" s="205"/>
      <c r="K27" s="205"/>
    </row>
    <row r="28" s="193" customFormat="1" ht="14.25">
      <c r="A28" s="85" t="s">
        <v>123</v>
      </c>
      <c r="I28" s="194"/>
    </row>
    <row r="29" s="193" customFormat="1" ht="12.75">
      <c r="A29" s="196" t="s">
        <v>117</v>
      </c>
      <c r="B29" s="197"/>
      <c r="C29" s="197"/>
      <c r="D29" s="197"/>
      <c r="E29" s="198">
        <v>5756.6800000000003</v>
      </c>
    </row>
    <row r="30" s="193" customFormat="1" ht="12.75">
      <c r="A30" s="199" t="s">
        <v>118</v>
      </c>
      <c r="B30" s="200"/>
      <c r="C30" s="200"/>
      <c r="D30" s="200"/>
      <c r="E30" s="201">
        <v>0.047</v>
      </c>
      <c r="F30" s="195"/>
    </row>
    <row r="31" s="193" customFormat="1" ht="12.75">
      <c r="A31" s="199" t="s">
        <v>119</v>
      </c>
      <c r="B31" s="200"/>
      <c r="C31" s="200"/>
      <c r="D31" s="200"/>
      <c r="E31" s="201">
        <f>G7</f>
        <v>4</v>
      </c>
      <c r="F31" s="194"/>
    </row>
    <row r="32" s="193" customFormat="1" ht="12.75">
      <c r="A32" s="202" t="s">
        <v>120</v>
      </c>
      <c r="B32" s="203"/>
      <c r="C32" s="203"/>
      <c r="D32" s="203"/>
      <c r="E32" s="204">
        <f>H7</f>
        <v>10</v>
      </c>
    </row>
    <row r="33" s="193" customFormat="1" ht="22.149999999999999" customHeight="1">
      <c r="A33" s="207" t="s">
        <v>121</v>
      </c>
      <c r="B33" s="208"/>
      <c r="C33" s="208"/>
      <c r="D33" s="208"/>
      <c r="E33" s="209">
        <f>E29*(1+E30*(E32-2))*E31</f>
        <v>31684.76672</v>
      </c>
    </row>
    <row r="34" s="193" customFormat="1" ht="12.75">
      <c r="F34" s="210"/>
    </row>
    <row r="35" s="193" customFormat="1" ht="12.75">
      <c r="F35" s="206"/>
    </row>
    <row r="36" s="193" customFormat="1" ht="14.25">
      <c r="A36" s="85" t="s">
        <v>124</v>
      </c>
      <c r="I36" s="194"/>
    </row>
    <row r="37" s="193" customFormat="1" ht="12.75">
      <c r="A37" s="196" t="s">
        <v>117</v>
      </c>
      <c r="B37" s="197"/>
      <c r="C37" s="197"/>
      <c r="D37" s="197"/>
      <c r="E37" s="198">
        <v>5756.6800000000003</v>
      </c>
    </row>
    <row r="38" s="193" customFormat="1" ht="12.75">
      <c r="A38" s="199" t="s">
        <v>118</v>
      </c>
      <c r="B38" s="200"/>
      <c r="C38" s="200"/>
      <c r="D38" s="200"/>
      <c r="E38" s="201">
        <v>0.047</v>
      </c>
      <c r="F38" s="195"/>
    </row>
    <row r="39" s="193" customFormat="1" ht="12.75">
      <c r="A39" s="199" t="s">
        <v>119</v>
      </c>
      <c r="B39" s="200"/>
      <c r="C39" s="200"/>
      <c r="D39" s="200"/>
      <c r="E39" s="201">
        <f>G8</f>
        <v>2</v>
      </c>
      <c r="F39" s="194"/>
    </row>
    <row r="40" s="193" customFormat="1" ht="12.75">
      <c r="A40" s="202" t="s">
        <v>120</v>
      </c>
      <c r="B40" s="203"/>
      <c r="C40" s="203"/>
      <c r="D40" s="203"/>
      <c r="E40" s="204">
        <f>H8</f>
        <v>13</v>
      </c>
    </row>
    <row r="41" s="193" customFormat="1" ht="20.449999999999999" customHeight="1">
      <c r="A41" s="207" t="s">
        <v>121</v>
      </c>
      <c r="B41" s="208"/>
      <c r="C41" s="208"/>
      <c r="D41" s="208"/>
      <c r="E41" s="209">
        <f>E37*(1+E38*(E40-2))*E39</f>
        <v>17465.76712</v>
      </c>
    </row>
    <row r="42" s="193" customFormat="1" ht="12.75"/>
    <row r="43" s="193" customFormat="1" ht="12.75"/>
    <row r="44" s="193" customFormat="1" ht="12.75">
      <c r="F44" s="206"/>
    </row>
    <row r="45" s="193" customFormat="1" ht="14.25">
      <c r="A45" s="85" t="s">
        <v>125</v>
      </c>
      <c r="I45" s="194"/>
    </row>
    <row r="46" s="193" customFormat="1" ht="12.75">
      <c r="A46" s="196" t="s">
        <v>117</v>
      </c>
      <c r="B46" s="197"/>
      <c r="C46" s="197"/>
      <c r="D46" s="197"/>
      <c r="E46" s="198">
        <v>5756.6800000000003</v>
      </c>
    </row>
    <row r="47" s="193" customFormat="1" ht="12.75">
      <c r="A47" s="199" t="s">
        <v>118</v>
      </c>
      <c r="B47" s="200"/>
      <c r="C47" s="200"/>
      <c r="D47" s="200"/>
      <c r="E47" s="201">
        <v>0.047</v>
      </c>
      <c r="F47" s="195"/>
    </row>
    <row r="48" s="193" customFormat="1" ht="12.75">
      <c r="A48" s="199" t="s">
        <v>119</v>
      </c>
      <c r="B48" s="200"/>
      <c r="C48" s="200"/>
      <c r="D48" s="200"/>
      <c r="E48" s="201">
        <f>G9</f>
        <v>2</v>
      </c>
      <c r="F48" s="194"/>
    </row>
    <row r="49" s="193" customFormat="1" ht="12.75">
      <c r="A49" s="202" t="s">
        <v>120</v>
      </c>
      <c r="B49" s="203"/>
      <c r="C49" s="203"/>
      <c r="D49" s="203"/>
      <c r="E49" s="204">
        <f>H9</f>
        <v>15</v>
      </c>
    </row>
    <row r="50" s="193" customFormat="1" ht="20.449999999999999" customHeight="1">
      <c r="A50" s="207" t="s">
        <v>121</v>
      </c>
      <c r="B50" s="208"/>
      <c r="C50" s="208"/>
      <c r="D50" s="208"/>
      <c r="E50" s="209">
        <f>E46*(1+E47*(E49-2))*E48</f>
        <v>18548.022960000002</v>
      </c>
    </row>
    <row r="51" s="193" customFormat="1">
      <c r="F51" s="210"/>
      <c r="G51" s="75"/>
      <c r="H51" s="75"/>
      <c r="I51" s="75"/>
      <c r="J51" s="75"/>
    </row>
    <row r="52">
      <c r="F52" s="206"/>
      <c r="G52" s="82"/>
      <c r="H52" s="82"/>
      <c r="I52" s="82"/>
      <c r="J52" s="82"/>
    </row>
    <row r="53" s="82" customFormat="1" ht="12.75">
      <c r="A53" s="176" t="s">
        <v>126</v>
      </c>
      <c r="B53" s="82"/>
      <c r="C53" s="82"/>
      <c r="D53" s="82"/>
      <c r="E53" s="83">
        <f>E17+E25+E33+E41+E50</f>
        <v>103712.34688000001</v>
      </c>
      <c r="F53" s="193"/>
      <c r="G53" s="205"/>
      <c r="H53" s="211"/>
      <c r="I53" s="211"/>
      <c r="J53" s="205"/>
    </row>
    <row r="54" s="211" customFormat="1" ht="12.75">
      <c r="A54" s="212"/>
      <c r="B54" s="194"/>
      <c r="C54" s="213"/>
      <c r="E54" s="193"/>
      <c r="F54" s="82"/>
      <c r="G54" s="214"/>
      <c r="H54" s="194"/>
      <c r="I54" s="194"/>
      <c r="J54" s="214"/>
      <c r="K54" s="205"/>
    </row>
    <row r="55" s="215" customFormat="1">
      <c r="A55" s="216" t="s">
        <v>127</v>
      </c>
      <c r="E55" s="194">
        <f>E53/(B4+B5-B10)</f>
        <v>4.4139487532185653</v>
      </c>
      <c r="F55" s="75"/>
      <c r="G55" s="75"/>
      <c r="H55" s="75"/>
      <c r="I55" s="75"/>
      <c r="J55" s="75"/>
      <c r="K55" s="214"/>
      <c r="M55" s="194"/>
    </row>
    <row r="56">
      <c r="F56" s="211"/>
    </row>
    <row r="57">
      <c r="F57" s="194"/>
    </row>
  </sheetData>
  <mergeCells count="20">
    <mergeCell ref="A23:D23"/>
    <mergeCell ref="A24:D24"/>
    <mergeCell ref="A13:D13"/>
    <mergeCell ref="A14:D14"/>
    <mergeCell ref="A15:D15"/>
    <mergeCell ref="A16:D16"/>
    <mergeCell ref="A21:D21"/>
    <mergeCell ref="A22:D22"/>
    <mergeCell ref="A49:D49"/>
    <mergeCell ref="A29:D29"/>
    <mergeCell ref="A30:D30"/>
    <mergeCell ref="A31:D31"/>
    <mergeCell ref="A32:D32"/>
    <mergeCell ref="A37:D37"/>
    <mergeCell ref="A38:D38"/>
    <mergeCell ref="A39:D39"/>
    <mergeCell ref="A40:D40"/>
    <mergeCell ref="A46:D46"/>
    <mergeCell ref="A47:D47"/>
    <mergeCell ref="A48:D48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0" workbookViewId="0">
      <selection activeCell="J21" activeCellId="0" sqref="J21"/>
    </sheetView>
  </sheetViews>
  <sheetFormatPr defaultColWidth="8.85546875" defaultRowHeight="15"/>
  <cols>
    <col customWidth="1" min="1" max="2" style="217" width="17.7109375"/>
    <col customWidth="1" min="3" max="3" style="217" width="16.28515625"/>
    <col customWidth="1" min="4" max="9" style="217" width="15.28515625"/>
    <col customWidth="1" min="10" max="10" style="217" width="5.28515625"/>
    <col customWidth="1" min="11" max="11" style="217" width="15.28515625"/>
    <col customWidth="1" min="12" max="12" style="217" width="18.42578125"/>
    <col customWidth="1" min="13" max="16" style="217" width="15.28515625"/>
    <col min="17" max="17" style="217" width="8.85546875"/>
    <col customWidth="1" min="18" max="18" style="217" width="11.85546875"/>
    <col min="19" max="16384" style="217" width="8.85546875"/>
  </cols>
  <sheetData>
    <row r="1" s="218" customFormat="1" ht="34.899999999999999" customHeight="1">
      <c r="A1" s="219" t="s">
        <v>128</v>
      </c>
      <c r="B1" s="220" t="s">
        <v>129</v>
      </c>
      <c r="C1" s="220" t="s">
        <v>130</v>
      </c>
      <c r="D1" s="221" t="s">
        <v>131</v>
      </c>
      <c r="E1" s="221" t="s">
        <v>132</v>
      </c>
      <c r="F1" s="221"/>
      <c r="G1" s="221"/>
      <c r="H1" s="221" t="s">
        <v>99</v>
      </c>
      <c r="I1" s="222" t="s">
        <v>9</v>
      </c>
      <c r="K1" s="223" t="s">
        <v>133</v>
      </c>
      <c r="L1" s="221" t="s">
        <v>134</v>
      </c>
      <c r="M1" s="221"/>
      <c r="N1" s="221"/>
      <c r="O1" s="221" t="s">
        <v>99</v>
      </c>
      <c r="P1" s="222" t="s">
        <v>9</v>
      </c>
    </row>
    <row r="2" s="218" customFormat="1" ht="24.600000000000001" customHeight="1">
      <c r="A2" s="224"/>
      <c r="B2" s="225"/>
      <c r="C2" s="225"/>
      <c r="D2" s="226"/>
      <c r="E2" s="227" t="s">
        <v>135</v>
      </c>
      <c r="F2" s="227" t="s">
        <v>136</v>
      </c>
      <c r="G2" s="227" t="s">
        <v>137</v>
      </c>
      <c r="H2" s="226"/>
      <c r="I2" s="228"/>
      <c r="K2" s="229"/>
      <c r="L2" s="226" t="s">
        <v>138</v>
      </c>
      <c r="M2" s="227" t="s">
        <v>136</v>
      </c>
      <c r="N2" s="227" t="s">
        <v>137</v>
      </c>
      <c r="O2" s="226"/>
      <c r="P2" s="228"/>
    </row>
    <row r="3" s="230" customFormat="1" ht="12.75">
      <c r="A3" s="231"/>
      <c r="B3" s="232"/>
      <c r="C3" s="232"/>
      <c r="D3" s="233"/>
      <c r="E3" s="233"/>
      <c r="F3" s="233"/>
      <c r="G3" s="233"/>
      <c r="H3" s="233"/>
      <c r="I3" s="234"/>
      <c r="K3" s="231"/>
      <c r="L3" s="235"/>
      <c r="M3" s="233"/>
      <c r="N3" s="233"/>
      <c r="O3" s="233"/>
      <c r="P3" s="234"/>
    </row>
    <row r="4" s="230" customFormat="1" ht="12.75">
      <c r="A4" s="236" t="s">
        <v>139</v>
      </c>
      <c r="B4" s="237" t="s">
        <v>140</v>
      </c>
      <c r="C4" s="237">
        <v>12</v>
      </c>
      <c r="D4" s="238">
        <f>2.52*23496.5</f>
        <v>59211.18</v>
      </c>
      <c r="E4" s="238">
        <v>53000</v>
      </c>
      <c r="F4" s="238">
        <f>40000/12</f>
        <v>3333.3333333333335</v>
      </c>
      <c r="G4" s="238">
        <f>3600/12</f>
        <v>300</v>
      </c>
      <c r="H4" s="238">
        <f>D4-SUM(E4:G4)</f>
        <v>2577.8466666666645</v>
      </c>
      <c r="I4" s="239">
        <f>D4/(E4+F4+G4)*100-100</f>
        <v>4.5518187168922708</v>
      </c>
      <c r="K4" s="240">
        <f>4.41*23496.5</f>
        <v>103619.565</v>
      </c>
      <c r="L4" s="241">
        <f>E4*1.15</f>
        <v>60949.999999999993</v>
      </c>
      <c r="M4" s="238">
        <f>40000/12</f>
        <v>3333.3333333333335</v>
      </c>
      <c r="N4" s="238">
        <f>3600/12</f>
        <v>300</v>
      </c>
      <c r="O4" s="238">
        <f>K4-SUM(L4:N4)</f>
        <v>39036.231666666674</v>
      </c>
      <c r="P4" s="239">
        <f>K4/(L4+M4+N4)*100-100</f>
        <v>60.443197419354846</v>
      </c>
      <c r="R4" s="242">
        <f>E4/(D4-F4-G4)*(K4-M4-N4)</f>
        <v>95348.607334793007</v>
      </c>
    </row>
    <row r="5" s="230" customFormat="1" ht="12.75">
      <c r="A5" s="243"/>
      <c r="B5" s="244"/>
      <c r="C5" s="244"/>
      <c r="D5" s="245"/>
      <c r="E5" s="245"/>
      <c r="F5" s="245"/>
      <c r="G5" s="245"/>
      <c r="H5" s="245"/>
      <c r="I5" s="246"/>
      <c r="K5" s="247"/>
      <c r="L5" s="248"/>
      <c r="M5" s="245"/>
      <c r="N5" s="245"/>
      <c r="O5" s="245"/>
      <c r="P5" s="246"/>
    </row>
  </sheetData>
  <mergeCells count="11">
    <mergeCell ref="I1:I2"/>
    <mergeCell ref="K1:K2"/>
    <mergeCell ref="L1:N1"/>
    <mergeCell ref="O1:O2"/>
    <mergeCell ref="P1:P2"/>
    <mergeCell ref="H1:H2"/>
    <mergeCell ref="A1:A2"/>
    <mergeCell ref="B1:B2"/>
    <mergeCell ref="C1:C2"/>
    <mergeCell ref="D1:D2"/>
    <mergeCell ref="E1:G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14" activeCellId="0" sqref="C14"/>
    </sheetView>
  </sheetViews>
  <sheetFormatPr defaultRowHeight="12.75"/>
  <cols>
    <col customWidth="1" min="1" max="1" width="45.7109375"/>
    <col customWidth="1" min="2" max="4" width="22.28515625"/>
    <col customWidth="1" min="5" max="5" width="47.28515625"/>
  </cols>
  <sheetData>
    <row r="4" ht="29.449999999999999" customHeight="1">
      <c r="A4" s="14" t="s">
        <v>24</v>
      </c>
      <c r="B4" s="249" t="s">
        <v>131</v>
      </c>
      <c r="C4" s="249" t="s">
        <v>133</v>
      </c>
      <c r="D4" s="15" t="s">
        <v>98</v>
      </c>
      <c r="E4" s="14"/>
    </row>
    <row r="5" ht="25.899999999999999" customHeight="1">
      <c r="A5" s="22" t="s">
        <v>25</v>
      </c>
      <c r="B5" s="250">
        <f>3*25180.8</f>
        <v>75542.399999999994</v>
      </c>
      <c r="C5" s="250">
        <f>'Тариф для ОСС_жилье '!E20*25180.8</f>
        <v>75542.399999999994</v>
      </c>
      <c r="D5" s="251">
        <v>202690.14000000001</v>
      </c>
      <c r="E5" s="22" t="s">
        <v>141</v>
      </c>
    </row>
    <row r="6" ht="25.899999999999999" customHeight="1">
      <c r="A6" s="252" t="s">
        <v>26</v>
      </c>
      <c r="B6" s="251">
        <f>5.6*25180.8</f>
        <v>141012.47999999998</v>
      </c>
      <c r="C6" s="251">
        <f>'Тариф для ОСС_жилье '!E21*25180.8</f>
        <v>141012.47999999998</v>
      </c>
      <c r="D6" s="253"/>
      <c r="E6" s="22" t="s">
        <v>141</v>
      </c>
    </row>
    <row r="7" ht="25.899999999999999" customHeight="1">
      <c r="A7" s="254"/>
      <c r="B7" s="255"/>
      <c r="C7" s="255"/>
      <c r="D7" s="250">
        <v>1250</v>
      </c>
      <c r="E7" s="22" t="s">
        <v>142</v>
      </c>
    </row>
    <row r="8" ht="25.899999999999999" customHeight="1">
      <c r="A8" s="254"/>
      <c r="B8" s="255"/>
      <c r="C8" s="255"/>
      <c r="D8" s="250">
        <f>217472.33/11</f>
        <v>19770.211818181819</v>
      </c>
      <c r="E8" s="22" t="s">
        <v>143</v>
      </c>
    </row>
    <row r="9" ht="25.899999999999999" customHeight="1">
      <c r="A9" s="256"/>
      <c r="B9" s="253"/>
      <c r="C9" s="253"/>
      <c r="D9" s="250">
        <f>50000/12</f>
        <v>4166.666666666667</v>
      </c>
      <c r="E9" s="22" t="s">
        <v>144</v>
      </c>
    </row>
    <row r="10" ht="25.899999999999999" customHeight="1">
      <c r="A10" s="22" t="s">
        <v>27</v>
      </c>
      <c r="B10" s="250">
        <f>0.19*25180.8</f>
        <v>4784.3519999999999</v>
      </c>
      <c r="C10" s="250">
        <f>'Тариф для ОСС_жилье '!E22*25180.8</f>
        <v>4784.3519999999999</v>
      </c>
      <c r="D10" s="250">
        <f>36546.17/12</f>
        <v>3045.5141666666664</v>
      </c>
      <c r="E10" s="22" t="s">
        <v>145</v>
      </c>
    </row>
    <row r="11" ht="25.899999999999999" customHeight="1">
      <c r="A11" s="22" t="s">
        <v>28</v>
      </c>
      <c r="B11" s="250">
        <f>0.09*25180.8</f>
        <v>2266.2719999999999</v>
      </c>
      <c r="C11" s="250">
        <f>'Тариф для ОСС_жилье '!E23*25180.8</f>
        <v>2266.2719999999999</v>
      </c>
      <c r="D11" s="250">
        <v>1533.5999999999999</v>
      </c>
      <c r="E11" s="22" t="s">
        <v>146</v>
      </c>
    </row>
    <row r="12" ht="25.899999999999999" customHeight="1">
      <c r="A12" s="22" t="s">
        <v>29</v>
      </c>
      <c r="B12" s="250">
        <f>0.17*25180.8</f>
        <v>4280.7359999999999</v>
      </c>
      <c r="C12" s="250">
        <f>'Тариф для ОСС_жилье '!E24*25180.8</f>
        <v>4280.7359999999999</v>
      </c>
      <c r="D12" s="250">
        <v>2850</v>
      </c>
      <c r="E12" s="37" t="s">
        <v>147</v>
      </c>
    </row>
    <row r="13" s="257" customFormat="1" ht="25.899999999999999" customHeight="1">
      <c r="A13" s="258" t="s">
        <v>67</v>
      </c>
      <c r="B13" s="259">
        <f>SUM(B5:B12)</f>
        <v>227886.23999999999</v>
      </c>
      <c r="C13" s="259">
        <f t="shared" ref="C13:D13" si="27">SUM(C5:C12)</f>
        <v>227886.23999999999</v>
      </c>
      <c r="D13" s="259">
        <f t="shared" si="27"/>
        <v>235306.13265151516</v>
      </c>
      <c r="E13" s="260"/>
    </row>
  </sheetData>
  <mergeCells count="4">
    <mergeCell ref="A6:A9"/>
    <mergeCell ref="C6:C9"/>
    <mergeCell ref="D5:D6"/>
    <mergeCell ref="B6:B9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17" activeCellId="0" sqref="E17"/>
    </sheetView>
  </sheetViews>
  <sheetFormatPr defaultColWidth="8.85546875" defaultRowHeight="12.75"/>
  <cols>
    <col customWidth="1" min="1" max="1" style="261" width="45.7109375"/>
    <col customWidth="1" min="2" max="4" style="261" width="22.28515625"/>
    <col customWidth="1" min="5" max="5" style="261" width="25.7109375"/>
    <col min="6" max="16384" style="261" width="8.85546875"/>
  </cols>
  <sheetData>
    <row r="4" ht="29.449999999999999" customHeight="1">
      <c r="A4" s="14"/>
      <c r="B4" s="249" t="s">
        <v>131</v>
      </c>
      <c r="C4" s="249" t="s">
        <v>133</v>
      </c>
      <c r="D4" s="15" t="s">
        <v>98</v>
      </c>
      <c r="E4" s="262"/>
    </row>
    <row r="5" ht="29.449999999999999" customHeight="1">
      <c r="A5" s="14" t="s">
        <v>148</v>
      </c>
      <c r="B5" s="249"/>
      <c r="C5" s="249"/>
      <c r="D5" s="263"/>
      <c r="E5" s="262"/>
    </row>
    <row r="6" ht="25.899999999999999" customHeight="1">
      <c r="A6" s="37" t="s">
        <v>18</v>
      </c>
      <c r="B6" s="250">
        <f>0.67*25180.8</f>
        <v>16871.136000000002</v>
      </c>
      <c r="C6" s="250">
        <f>0.67*25180.8</f>
        <v>16871.136000000002</v>
      </c>
      <c r="D6" s="251">
        <v>16618.07</v>
      </c>
      <c r="E6" s="22" t="s">
        <v>149</v>
      </c>
    </row>
    <row r="7" ht="25.899999999999999" customHeight="1">
      <c r="A7" s="37" t="s">
        <v>21</v>
      </c>
      <c r="B7" s="250">
        <f>0.54*25180.8</f>
        <v>13597.632</v>
      </c>
      <c r="C7" s="250">
        <f>0.54*25180.8</f>
        <v>13597.632</v>
      </c>
      <c r="D7" s="251">
        <v>13596.610000000001</v>
      </c>
      <c r="E7" s="22" t="s">
        <v>149</v>
      </c>
    </row>
    <row r="8" ht="29.449999999999999" customHeight="1">
      <c r="A8" s="14" t="s">
        <v>150</v>
      </c>
      <c r="B8" s="250"/>
      <c r="C8" s="250"/>
      <c r="D8" s="251"/>
      <c r="E8" s="262"/>
    </row>
    <row r="9" ht="25.899999999999999" customHeight="1">
      <c r="A9" s="37" t="s">
        <v>151</v>
      </c>
      <c r="B9" s="250">
        <f>0.3*25180.8</f>
        <v>7554.2399999999998</v>
      </c>
      <c r="C9" s="250">
        <f>0.3*25180.8</f>
        <v>7554.2399999999998</v>
      </c>
      <c r="D9" s="251">
        <v>7553.6700000000001</v>
      </c>
      <c r="E9" s="22" t="s">
        <v>152</v>
      </c>
    </row>
    <row r="10" ht="25.899999999999999" customHeight="1">
      <c r="A10" s="37" t="s">
        <v>20</v>
      </c>
      <c r="B10" s="250">
        <f>0.34*23496.5</f>
        <v>7988.8100000000004</v>
      </c>
      <c r="C10" s="250">
        <f>0.34*23496.5</f>
        <v>7988.8100000000004</v>
      </c>
      <c r="D10" s="251">
        <v>3939.9899999999998</v>
      </c>
      <c r="E10" s="22" t="s">
        <v>152</v>
      </c>
    </row>
    <row r="11" ht="25.899999999999999" customHeight="1">
      <c r="A11" s="37" t="s">
        <v>23</v>
      </c>
      <c r="B11" s="250">
        <f>0.25*23269.7</f>
        <v>5817.4250000000002</v>
      </c>
      <c r="C11" s="250">
        <f>0.25*23269.7</f>
        <v>5817.4250000000002</v>
      </c>
      <c r="D11" s="251">
        <v>5816.9499999999998</v>
      </c>
      <c r="E11" s="22" t="s">
        <v>152</v>
      </c>
    </row>
    <row r="12" ht="25.899999999999999" customHeight="1">
      <c r="A12" s="37" t="s">
        <v>153</v>
      </c>
      <c r="B12" s="250">
        <f>0.4*23496.5</f>
        <v>9398.6000000000004</v>
      </c>
      <c r="C12" s="250">
        <f>0.4*23496.5</f>
        <v>9398.6000000000004</v>
      </c>
      <c r="D12" s="251">
        <v>6041.29</v>
      </c>
      <c r="E12" s="22" t="s">
        <v>152</v>
      </c>
    </row>
    <row r="13" s="264" customFormat="1" ht="25.899999999999999" customHeight="1">
      <c r="A13" s="258" t="s">
        <v>67</v>
      </c>
      <c r="B13" s="259">
        <f>SUM(B6:B12)</f>
        <v>61227.843000000001</v>
      </c>
      <c r="C13" s="259">
        <f t="shared" ref="C13:D13" si="28">SUM(C6:C12)</f>
        <v>61227.843000000001</v>
      </c>
      <c r="D13" s="259">
        <f t="shared" si="28"/>
        <v>53566.579999999994</v>
      </c>
      <c r="E13" s="265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>Stroimontazh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</dc:creator>
  <cp:lastModifiedBy>Ярослава Бабенко</cp:lastModifiedBy>
  <cp:revision>1</cp:revision>
  <dcterms:created xsi:type="dcterms:W3CDTF">2002-02-20T09:19:46Z</dcterms:created>
  <dcterms:modified xsi:type="dcterms:W3CDTF">2023-02-27T11:14:25Z</dcterms:modified>
</cp:coreProperties>
</file>